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tor de Empenhos\Desktop\Pregão Transporte Escolar\"/>
    </mc:Choice>
  </mc:AlternateContent>
  <xr:revisionPtr revIDLastSave="0" documentId="13_ncr:1_{61BB8827-3A7F-4D9B-A221-83470243E409}" xr6:coauthVersionLast="43" xr6:coauthVersionMax="43" xr10:uidLastSave="{00000000-0000-0000-0000-000000000000}"/>
  <bookViews>
    <workbookView xWindow="-120" yWindow="-120" windowWidth="29040" windowHeight="15720" tabRatio="500" xr2:uid="{00000000-000D-0000-FFFF-FFFF00000000}"/>
  </bookViews>
  <sheets>
    <sheet name="PARÂMETROS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20" r:id="rId19"/>
    <sheet name="Resumo" sheetId="21" r:id="rId20"/>
  </sheets>
  <definedNames>
    <definedName name="_xlnm.Print_Area" localSheetId="19">Resumo!$A$1:$I$30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7" l="1"/>
  <c r="C49" i="20" l="1"/>
  <c r="C49" i="18"/>
  <c r="C49" i="17"/>
  <c r="C49" i="16"/>
  <c r="C49" i="15"/>
  <c r="C49" i="14"/>
  <c r="C49" i="13"/>
  <c r="C49" i="12"/>
  <c r="C49" i="11"/>
  <c r="C49" i="10"/>
  <c r="C49" i="9"/>
  <c r="C49" i="8"/>
  <c r="C49" i="7"/>
  <c r="C49" i="6"/>
  <c r="C49" i="5"/>
  <c r="C49" i="4"/>
  <c r="C49" i="2"/>
  <c r="C84" i="2" l="1"/>
  <c r="C128" i="1" l="1"/>
  <c r="C129" i="1"/>
  <c r="C130" i="1"/>
  <c r="C131" i="1"/>
  <c r="C132" i="1"/>
  <c r="C120" i="1"/>
  <c r="D27" i="1"/>
  <c r="C27" i="1"/>
  <c r="G27" i="1" s="1"/>
  <c r="F42" i="1" l="1"/>
  <c r="F41" i="1" l="1"/>
  <c r="C114" i="1" l="1"/>
  <c r="C115" i="1"/>
  <c r="C116" i="1"/>
  <c r="B21" i="21" l="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H2" i="21"/>
  <c r="G2" i="21"/>
  <c r="F2" i="21"/>
  <c r="E2" i="21"/>
  <c r="C84" i="20"/>
  <c r="C69" i="20"/>
  <c r="G53" i="20"/>
  <c r="D44" i="20"/>
  <c r="F41" i="20"/>
  <c r="G41" i="20" s="1"/>
  <c r="F40" i="20"/>
  <c r="G40" i="20" s="1"/>
  <c r="F39" i="20"/>
  <c r="G39" i="20" s="1"/>
  <c r="F38" i="20"/>
  <c r="G38" i="20" s="1"/>
  <c r="F36" i="20"/>
  <c r="G36" i="20" s="1"/>
  <c r="D36" i="20"/>
  <c r="C36" i="20"/>
  <c r="F35" i="20"/>
  <c r="G35" i="20" s="1"/>
  <c r="D35" i="20"/>
  <c r="C35" i="20"/>
  <c r="D34" i="20"/>
  <c r="C34" i="20"/>
  <c r="F32" i="20"/>
  <c r="G32" i="20" s="1"/>
  <c r="F31" i="20"/>
  <c r="G31" i="20" s="1"/>
  <c r="F30" i="20"/>
  <c r="G30" i="20" s="1"/>
  <c r="D27" i="20"/>
  <c r="D26" i="20"/>
  <c r="C26" i="20"/>
  <c r="G19" i="20"/>
  <c r="G22" i="20" s="1"/>
  <c r="G23" i="20" s="1"/>
  <c r="D15" i="20"/>
  <c r="C44" i="20"/>
  <c r="C84" i="18"/>
  <c r="C69" i="18"/>
  <c r="G53" i="18"/>
  <c r="D44" i="18"/>
  <c r="F41" i="18"/>
  <c r="G41" i="18" s="1"/>
  <c r="F40" i="18"/>
  <c r="G40" i="18" s="1"/>
  <c r="F39" i="18"/>
  <c r="G39" i="18" s="1"/>
  <c r="F38" i="18"/>
  <c r="G38" i="18" s="1"/>
  <c r="F36" i="18"/>
  <c r="G36" i="18" s="1"/>
  <c r="D36" i="18"/>
  <c r="C36" i="18"/>
  <c r="F35" i="18"/>
  <c r="G35" i="18" s="1"/>
  <c r="D35" i="18"/>
  <c r="C35" i="18"/>
  <c r="D34" i="18"/>
  <c r="C34" i="18"/>
  <c r="F32" i="18"/>
  <c r="G32" i="18" s="1"/>
  <c r="F31" i="18"/>
  <c r="G31" i="18" s="1"/>
  <c r="F30" i="18"/>
  <c r="G30" i="18" s="1"/>
  <c r="D27" i="18"/>
  <c r="D26" i="18"/>
  <c r="C26" i="18"/>
  <c r="G19" i="18"/>
  <c r="G22" i="18" s="1"/>
  <c r="G23" i="18" s="1"/>
  <c r="D15" i="18"/>
  <c r="C44" i="18"/>
  <c r="C84" i="17"/>
  <c r="C69" i="17"/>
  <c r="G53" i="17"/>
  <c r="D44" i="17"/>
  <c r="F41" i="17"/>
  <c r="G41" i="17" s="1"/>
  <c r="F40" i="17"/>
  <c r="G40" i="17" s="1"/>
  <c r="F39" i="17"/>
  <c r="G39" i="17" s="1"/>
  <c r="F38" i="17"/>
  <c r="G38" i="17" s="1"/>
  <c r="F36" i="17"/>
  <c r="G36" i="17" s="1"/>
  <c r="D36" i="17"/>
  <c r="C36" i="17"/>
  <c r="F35" i="17"/>
  <c r="G35" i="17" s="1"/>
  <c r="D35" i="17"/>
  <c r="C35" i="17"/>
  <c r="D34" i="17"/>
  <c r="C34" i="17"/>
  <c r="F32" i="17"/>
  <c r="G32" i="17" s="1"/>
  <c r="F31" i="17"/>
  <c r="G31" i="17" s="1"/>
  <c r="F30" i="17"/>
  <c r="G30" i="17" s="1"/>
  <c r="D27" i="17"/>
  <c r="E27" i="17" s="1"/>
  <c r="D26" i="17"/>
  <c r="C26" i="17"/>
  <c r="G19" i="17"/>
  <c r="G25" i="17" s="1"/>
  <c r="D15" i="17"/>
  <c r="C44" i="17"/>
  <c r="C84" i="16"/>
  <c r="C69" i="16"/>
  <c r="G53" i="16"/>
  <c r="D44" i="16"/>
  <c r="F41" i="16"/>
  <c r="G41" i="16" s="1"/>
  <c r="F40" i="16"/>
  <c r="G40" i="16" s="1"/>
  <c r="F39" i="16"/>
  <c r="G39" i="16" s="1"/>
  <c r="F38" i="16"/>
  <c r="G38" i="16" s="1"/>
  <c r="F36" i="16"/>
  <c r="G36" i="16" s="1"/>
  <c r="D36" i="16"/>
  <c r="C36" i="16"/>
  <c r="F35" i="16"/>
  <c r="G35" i="16" s="1"/>
  <c r="D35" i="16"/>
  <c r="C35" i="16"/>
  <c r="D34" i="16"/>
  <c r="C34" i="16"/>
  <c r="F32" i="16"/>
  <c r="G32" i="16" s="1"/>
  <c r="F31" i="16"/>
  <c r="G31" i="16" s="1"/>
  <c r="F30" i="16"/>
  <c r="G30" i="16" s="1"/>
  <c r="D27" i="16"/>
  <c r="D26" i="16"/>
  <c r="E27" i="16" s="1"/>
  <c r="C26" i="16"/>
  <c r="G19" i="16"/>
  <c r="F19" i="16" s="1"/>
  <c r="D15" i="16"/>
  <c r="C44" i="16"/>
  <c r="C84" i="15"/>
  <c r="C69" i="15"/>
  <c r="G53" i="15"/>
  <c r="D44" i="15"/>
  <c r="F41" i="15"/>
  <c r="G41" i="15" s="1"/>
  <c r="F40" i="15"/>
  <c r="G40" i="15" s="1"/>
  <c r="F39" i="15"/>
  <c r="G39" i="15" s="1"/>
  <c r="F38" i="15"/>
  <c r="G38" i="15" s="1"/>
  <c r="F36" i="15"/>
  <c r="G36" i="15" s="1"/>
  <c r="D36" i="15"/>
  <c r="C36" i="15"/>
  <c r="F35" i="15"/>
  <c r="G35" i="15" s="1"/>
  <c r="D35" i="15"/>
  <c r="C35" i="15"/>
  <c r="D34" i="15"/>
  <c r="C34" i="15"/>
  <c r="F32" i="15"/>
  <c r="G32" i="15" s="1"/>
  <c r="F31" i="15"/>
  <c r="G31" i="15" s="1"/>
  <c r="F30" i="15"/>
  <c r="G30" i="15" s="1"/>
  <c r="D27" i="15"/>
  <c r="D26" i="15"/>
  <c r="E27" i="15" s="1"/>
  <c r="C26" i="15"/>
  <c r="G19" i="15"/>
  <c r="G25" i="15" s="1"/>
  <c r="D15" i="15"/>
  <c r="C44" i="15"/>
  <c r="C84" i="14"/>
  <c r="C69" i="14"/>
  <c r="G53" i="14"/>
  <c r="D44" i="14"/>
  <c r="F41" i="14"/>
  <c r="G41" i="14" s="1"/>
  <c r="F40" i="14"/>
  <c r="G40" i="14" s="1"/>
  <c r="F39" i="14"/>
  <c r="G39" i="14" s="1"/>
  <c r="F38" i="14"/>
  <c r="G38" i="14" s="1"/>
  <c r="F36" i="14"/>
  <c r="G36" i="14" s="1"/>
  <c r="D36" i="14"/>
  <c r="C36" i="14"/>
  <c r="F35" i="14"/>
  <c r="G35" i="14" s="1"/>
  <c r="D35" i="14"/>
  <c r="C35" i="14"/>
  <c r="D34" i="14"/>
  <c r="C34" i="14"/>
  <c r="F32" i="14"/>
  <c r="G32" i="14" s="1"/>
  <c r="F31" i="14"/>
  <c r="G31" i="14" s="1"/>
  <c r="F30" i="14"/>
  <c r="D27" i="14"/>
  <c r="D26" i="14"/>
  <c r="C26" i="14"/>
  <c r="G19" i="14"/>
  <c r="G25" i="14" s="1"/>
  <c r="D15" i="14"/>
  <c r="C44" i="14"/>
  <c r="C84" i="13"/>
  <c r="C69" i="13"/>
  <c r="G53" i="13"/>
  <c r="D44" i="13"/>
  <c r="F41" i="13"/>
  <c r="G41" i="13" s="1"/>
  <c r="F40" i="13"/>
  <c r="G40" i="13" s="1"/>
  <c r="F39" i="13"/>
  <c r="G39" i="13" s="1"/>
  <c r="F38" i="13"/>
  <c r="G38" i="13" s="1"/>
  <c r="F36" i="13"/>
  <c r="G36" i="13" s="1"/>
  <c r="D36" i="13"/>
  <c r="C36" i="13"/>
  <c r="F35" i="13"/>
  <c r="G35" i="13" s="1"/>
  <c r="D35" i="13"/>
  <c r="C35" i="13"/>
  <c r="D34" i="13"/>
  <c r="C34" i="13"/>
  <c r="F32" i="13"/>
  <c r="G32" i="13" s="1"/>
  <c r="F31" i="13"/>
  <c r="G31" i="13" s="1"/>
  <c r="F30" i="13"/>
  <c r="G30" i="13" s="1"/>
  <c r="D27" i="13"/>
  <c r="E27" i="13" s="1"/>
  <c r="D26" i="13"/>
  <c r="C26" i="13"/>
  <c r="G19" i="13"/>
  <c r="D15" i="13"/>
  <c r="C44" i="13"/>
  <c r="C84" i="12"/>
  <c r="C69" i="12"/>
  <c r="G53" i="12"/>
  <c r="D44" i="12"/>
  <c r="F41" i="12"/>
  <c r="G41" i="12" s="1"/>
  <c r="F40" i="12"/>
  <c r="G40" i="12" s="1"/>
  <c r="F39" i="12"/>
  <c r="G39" i="12" s="1"/>
  <c r="F38" i="12"/>
  <c r="G38" i="12" s="1"/>
  <c r="F36" i="12"/>
  <c r="G36" i="12" s="1"/>
  <c r="D36" i="12"/>
  <c r="C36" i="12"/>
  <c r="F35" i="12"/>
  <c r="G35" i="12" s="1"/>
  <c r="D35" i="12"/>
  <c r="C35" i="12"/>
  <c r="D34" i="12"/>
  <c r="C34" i="12"/>
  <c r="F32" i="12"/>
  <c r="G32" i="12" s="1"/>
  <c r="F31" i="12"/>
  <c r="G31" i="12" s="1"/>
  <c r="F30" i="12"/>
  <c r="G30" i="12" s="1"/>
  <c r="D27" i="12"/>
  <c r="E27" i="12" s="1"/>
  <c r="D26" i="12"/>
  <c r="C26" i="12"/>
  <c r="G19" i="12"/>
  <c r="G20" i="12" s="1"/>
  <c r="F20" i="12" s="1"/>
  <c r="F19" i="12"/>
  <c r="D15" i="12"/>
  <c r="C44" i="12"/>
  <c r="C84" i="11"/>
  <c r="C69" i="11"/>
  <c r="G53" i="11"/>
  <c r="D44" i="11"/>
  <c r="F41" i="11"/>
  <c r="G41" i="11" s="1"/>
  <c r="F40" i="11"/>
  <c r="G40" i="11" s="1"/>
  <c r="F39" i="11"/>
  <c r="G39" i="11" s="1"/>
  <c r="F38" i="11"/>
  <c r="G38" i="11" s="1"/>
  <c r="F36" i="11"/>
  <c r="G36" i="11" s="1"/>
  <c r="D36" i="11"/>
  <c r="C36" i="11"/>
  <c r="F35" i="11"/>
  <c r="G35" i="11" s="1"/>
  <c r="D35" i="11"/>
  <c r="C35" i="11"/>
  <c r="D34" i="11"/>
  <c r="C34" i="11"/>
  <c r="F32" i="11"/>
  <c r="G32" i="11" s="1"/>
  <c r="F31" i="11"/>
  <c r="G31" i="11" s="1"/>
  <c r="F30" i="11"/>
  <c r="G30" i="11" s="1"/>
  <c r="D27" i="11"/>
  <c r="D26" i="11"/>
  <c r="E27" i="11" s="1"/>
  <c r="C26" i="11"/>
  <c r="G19" i="11"/>
  <c r="G22" i="11" s="1"/>
  <c r="G23" i="11" s="1"/>
  <c r="D15" i="11"/>
  <c r="C44" i="11"/>
  <c r="C84" i="10"/>
  <c r="C69" i="10"/>
  <c r="G53" i="10"/>
  <c r="D44" i="10"/>
  <c r="F41" i="10"/>
  <c r="G41" i="10" s="1"/>
  <c r="F40" i="10"/>
  <c r="G40" i="10" s="1"/>
  <c r="F39" i="10"/>
  <c r="G39" i="10" s="1"/>
  <c r="F38" i="10"/>
  <c r="G38" i="10" s="1"/>
  <c r="F36" i="10"/>
  <c r="G36" i="10" s="1"/>
  <c r="D36" i="10"/>
  <c r="C36" i="10"/>
  <c r="F35" i="10"/>
  <c r="G35" i="10" s="1"/>
  <c r="D35" i="10"/>
  <c r="C35" i="10"/>
  <c r="D34" i="10"/>
  <c r="C34" i="10"/>
  <c r="F32" i="10"/>
  <c r="G32" i="10" s="1"/>
  <c r="F31" i="10"/>
  <c r="G31" i="10" s="1"/>
  <c r="F30" i="10"/>
  <c r="D27" i="10"/>
  <c r="D26" i="10"/>
  <c r="C26" i="10"/>
  <c r="G19" i="10"/>
  <c r="G22" i="10" s="1"/>
  <c r="G23" i="10" s="1"/>
  <c r="D15" i="10"/>
  <c r="C44" i="10"/>
  <c r="C84" i="9"/>
  <c r="C69" i="9"/>
  <c r="G53" i="9"/>
  <c r="D44" i="9"/>
  <c r="F41" i="9"/>
  <c r="G41" i="9" s="1"/>
  <c r="F40" i="9"/>
  <c r="G40" i="9" s="1"/>
  <c r="F39" i="9"/>
  <c r="G39" i="9" s="1"/>
  <c r="F38" i="9"/>
  <c r="G38" i="9" s="1"/>
  <c r="F36" i="9"/>
  <c r="G36" i="9" s="1"/>
  <c r="D36" i="9"/>
  <c r="C36" i="9"/>
  <c r="F35" i="9"/>
  <c r="G35" i="9" s="1"/>
  <c r="D35" i="9"/>
  <c r="C35" i="9"/>
  <c r="D34" i="9"/>
  <c r="C34" i="9"/>
  <c r="F32" i="9"/>
  <c r="G32" i="9" s="1"/>
  <c r="F31" i="9"/>
  <c r="G31" i="9" s="1"/>
  <c r="F30" i="9"/>
  <c r="E27" i="9"/>
  <c r="D27" i="9"/>
  <c r="D26" i="9"/>
  <c r="C26" i="9"/>
  <c r="G19" i="9"/>
  <c r="G22" i="9" s="1"/>
  <c r="G23" i="9" s="1"/>
  <c r="D15" i="9"/>
  <c r="C44" i="9"/>
  <c r="C84" i="8"/>
  <c r="C69" i="8"/>
  <c r="G53" i="8"/>
  <c r="D44" i="8"/>
  <c r="F41" i="8"/>
  <c r="G41" i="8" s="1"/>
  <c r="F40" i="8"/>
  <c r="G40" i="8" s="1"/>
  <c r="F39" i="8"/>
  <c r="G39" i="8" s="1"/>
  <c r="F38" i="8"/>
  <c r="G38" i="8" s="1"/>
  <c r="F36" i="8"/>
  <c r="G36" i="8" s="1"/>
  <c r="D36" i="8"/>
  <c r="C36" i="8"/>
  <c r="F35" i="8"/>
  <c r="G35" i="8" s="1"/>
  <c r="D35" i="8"/>
  <c r="C35" i="8"/>
  <c r="D34" i="8"/>
  <c r="C34" i="8"/>
  <c r="F32" i="8"/>
  <c r="G32" i="8" s="1"/>
  <c r="F31" i="8"/>
  <c r="G31" i="8" s="1"/>
  <c r="F30" i="8"/>
  <c r="D27" i="8"/>
  <c r="E27" i="8" s="1"/>
  <c r="D26" i="8"/>
  <c r="C26" i="8"/>
  <c r="G19" i="8"/>
  <c r="G22" i="8" s="1"/>
  <c r="G23" i="8" s="1"/>
  <c r="D15" i="8"/>
  <c r="C44" i="8"/>
  <c r="C69" i="7"/>
  <c r="C84" i="7" s="1"/>
  <c r="G53" i="7"/>
  <c r="D44" i="7"/>
  <c r="F41" i="7"/>
  <c r="G41" i="7" s="1"/>
  <c r="F40" i="7"/>
  <c r="G40" i="7" s="1"/>
  <c r="F39" i="7"/>
  <c r="G39" i="7" s="1"/>
  <c r="F38" i="7"/>
  <c r="G38" i="7" s="1"/>
  <c r="F36" i="7"/>
  <c r="G36" i="7" s="1"/>
  <c r="D36" i="7"/>
  <c r="C36" i="7"/>
  <c r="F35" i="7"/>
  <c r="G35" i="7" s="1"/>
  <c r="D35" i="7"/>
  <c r="C35" i="7"/>
  <c r="D34" i="7"/>
  <c r="C34" i="7"/>
  <c r="F32" i="7"/>
  <c r="G32" i="7" s="1"/>
  <c r="F31" i="7"/>
  <c r="G31" i="7" s="1"/>
  <c r="F30" i="7"/>
  <c r="D27" i="7"/>
  <c r="D26" i="7"/>
  <c r="E27" i="7" s="1"/>
  <c r="C26" i="7"/>
  <c r="G22" i="7"/>
  <c r="G23" i="7" s="1"/>
  <c r="D15" i="7"/>
  <c r="C44" i="7"/>
  <c r="C84" i="6"/>
  <c r="C69" i="6"/>
  <c r="G53" i="6"/>
  <c r="D44" i="6"/>
  <c r="F41" i="6"/>
  <c r="G41" i="6" s="1"/>
  <c r="F40" i="6"/>
  <c r="G40" i="6" s="1"/>
  <c r="F39" i="6"/>
  <c r="G39" i="6" s="1"/>
  <c r="F38" i="6"/>
  <c r="G38" i="6" s="1"/>
  <c r="F36" i="6"/>
  <c r="G36" i="6" s="1"/>
  <c r="D36" i="6"/>
  <c r="C36" i="6"/>
  <c r="F35" i="6"/>
  <c r="G35" i="6" s="1"/>
  <c r="D35" i="6"/>
  <c r="C35" i="6"/>
  <c r="D34" i="6"/>
  <c r="C34" i="6"/>
  <c r="F32" i="6"/>
  <c r="G32" i="6" s="1"/>
  <c r="F31" i="6"/>
  <c r="G31" i="6" s="1"/>
  <c r="F30" i="6"/>
  <c r="D27" i="6"/>
  <c r="D26" i="6"/>
  <c r="E27" i="6" s="1"/>
  <c r="C26" i="6"/>
  <c r="G19" i="6"/>
  <c r="G25" i="6" s="1"/>
  <c r="D15" i="6"/>
  <c r="C44" i="6"/>
  <c r="F44" i="6" s="1"/>
  <c r="C84" i="5"/>
  <c r="C69" i="5"/>
  <c r="G53" i="5"/>
  <c r="D44" i="5"/>
  <c r="F41" i="5"/>
  <c r="G41" i="5" s="1"/>
  <c r="F40" i="5"/>
  <c r="G40" i="5" s="1"/>
  <c r="F39" i="5"/>
  <c r="G39" i="5" s="1"/>
  <c r="F38" i="5"/>
  <c r="G38" i="5" s="1"/>
  <c r="F36" i="5"/>
  <c r="G36" i="5" s="1"/>
  <c r="D36" i="5"/>
  <c r="C36" i="5"/>
  <c r="F35" i="5"/>
  <c r="G35" i="5" s="1"/>
  <c r="D35" i="5"/>
  <c r="C35" i="5"/>
  <c r="D34" i="5"/>
  <c r="C34" i="5"/>
  <c r="F32" i="5"/>
  <c r="G32" i="5" s="1"/>
  <c r="F31" i="5"/>
  <c r="G31" i="5" s="1"/>
  <c r="F30" i="5"/>
  <c r="G30" i="5" s="1"/>
  <c r="D27" i="5"/>
  <c r="D26" i="5"/>
  <c r="E27" i="5" s="1"/>
  <c r="C26" i="5"/>
  <c r="G19" i="5"/>
  <c r="G22" i="5" s="1"/>
  <c r="G23" i="5" s="1"/>
  <c r="D15" i="5"/>
  <c r="C44" i="5"/>
  <c r="C84" i="4"/>
  <c r="C69" i="4"/>
  <c r="G53" i="4"/>
  <c r="D44" i="4"/>
  <c r="F41" i="4"/>
  <c r="G41" i="4" s="1"/>
  <c r="F40" i="4"/>
  <c r="G40" i="4" s="1"/>
  <c r="F39" i="4"/>
  <c r="G39" i="4" s="1"/>
  <c r="F38" i="4"/>
  <c r="G38" i="4" s="1"/>
  <c r="F36" i="4"/>
  <c r="G36" i="4" s="1"/>
  <c r="D36" i="4"/>
  <c r="C36" i="4"/>
  <c r="F35" i="4"/>
  <c r="G35" i="4" s="1"/>
  <c r="D35" i="4"/>
  <c r="C35" i="4"/>
  <c r="D34" i="4"/>
  <c r="C34" i="4"/>
  <c r="F32" i="4"/>
  <c r="G32" i="4" s="1"/>
  <c r="F31" i="4"/>
  <c r="G31" i="4" s="1"/>
  <c r="F30" i="4"/>
  <c r="E27" i="4"/>
  <c r="D27" i="4"/>
  <c r="D26" i="4"/>
  <c r="C26" i="4"/>
  <c r="G19" i="4"/>
  <c r="F19" i="4" s="1"/>
  <c r="D15" i="4"/>
  <c r="C44" i="4"/>
  <c r="C84" i="3"/>
  <c r="C69" i="3"/>
  <c r="G53" i="3"/>
  <c r="C49" i="3"/>
  <c r="D44" i="3"/>
  <c r="F41" i="3"/>
  <c r="G41" i="3" s="1"/>
  <c r="F40" i="3"/>
  <c r="G40" i="3" s="1"/>
  <c r="F39" i="3"/>
  <c r="G39" i="3" s="1"/>
  <c r="F38" i="3"/>
  <c r="G38" i="3" s="1"/>
  <c r="F36" i="3"/>
  <c r="G36" i="3" s="1"/>
  <c r="D36" i="3"/>
  <c r="C36" i="3"/>
  <c r="F35" i="3"/>
  <c r="G35" i="3" s="1"/>
  <c r="D35" i="3"/>
  <c r="C35" i="3"/>
  <c r="D34" i="3"/>
  <c r="C34" i="3"/>
  <c r="F32" i="3"/>
  <c r="G32" i="3" s="1"/>
  <c r="F31" i="3"/>
  <c r="G31" i="3" s="1"/>
  <c r="F30" i="3"/>
  <c r="D27" i="3"/>
  <c r="D26" i="3"/>
  <c r="E27" i="3" s="1"/>
  <c r="C26" i="3"/>
  <c r="G19" i="3"/>
  <c r="G22" i="3" s="1"/>
  <c r="G23" i="3" s="1"/>
  <c r="D15" i="3"/>
  <c r="C44" i="3"/>
  <c r="G53" i="2"/>
  <c r="D44" i="2"/>
  <c r="F41" i="2"/>
  <c r="G41" i="2" s="1"/>
  <c r="F40" i="2"/>
  <c r="G40" i="2" s="1"/>
  <c r="F39" i="2"/>
  <c r="G39" i="2" s="1"/>
  <c r="F38" i="2"/>
  <c r="G38" i="2" s="1"/>
  <c r="F36" i="2"/>
  <c r="G36" i="2" s="1"/>
  <c r="D36" i="2"/>
  <c r="C36" i="2"/>
  <c r="F35" i="2"/>
  <c r="G35" i="2" s="1"/>
  <c r="D35" i="2"/>
  <c r="C35" i="2"/>
  <c r="D34" i="2"/>
  <c r="C34" i="2"/>
  <c r="F32" i="2"/>
  <c r="G32" i="2" s="1"/>
  <c r="F31" i="2"/>
  <c r="G31" i="2" s="1"/>
  <c r="F30" i="2"/>
  <c r="G30" i="2" s="1"/>
  <c r="D27" i="2"/>
  <c r="D26" i="2"/>
  <c r="E27" i="2" s="1"/>
  <c r="C26" i="2"/>
  <c r="G19" i="2"/>
  <c r="G22" i="2" s="1"/>
  <c r="G23" i="2" s="1"/>
  <c r="D15" i="2"/>
  <c r="C44" i="2"/>
  <c r="C134" i="1"/>
  <c r="C133" i="1"/>
  <c r="C124" i="1"/>
  <c r="C123" i="1"/>
  <c r="C122" i="1"/>
  <c r="C121" i="1"/>
  <c r="C117" i="1"/>
  <c r="C110" i="1"/>
  <c r="C109" i="1"/>
  <c r="C108" i="1"/>
  <c r="C107" i="1"/>
  <c r="C106" i="1"/>
  <c r="C102" i="1"/>
  <c r="C101" i="1"/>
  <c r="C100" i="1"/>
  <c r="C99" i="1"/>
  <c r="C98" i="1"/>
  <c r="C97" i="1"/>
  <c r="C93" i="1"/>
  <c r="C92" i="1"/>
  <c r="C91" i="1"/>
  <c r="C90" i="1"/>
  <c r="C89" i="1"/>
  <c r="C88" i="1"/>
  <c r="C84" i="1"/>
  <c r="C83" i="1"/>
  <c r="C82" i="1"/>
  <c r="C78" i="1"/>
  <c r="C77" i="1"/>
  <c r="C76" i="1"/>
  <c r="C75" i="1"/>
  <c r="C74" i="1"/>
  <c r="C73" i="1"/>
  <c r="C72" i="1"/>
  <c r="C71" i="1"/>
  <c r="C67" i="1"/>
  <c r="C63" i="1"/>
  <c r="C62" i="1"/>
  <c r="C61" i="1"/>
  <c r="C60" i="1"/>
  <c r="C59" i="1"/>
  <c r="C58" i="1"/>
  <c r="C57" i="1"/>
  <c r="C56" i="1"/>
  <c r="C55" i="1"/>
  <c r="G47" i="1"/>
  <c r="G46" i="1"/>
  <c r="G45" i="1"/>
  <c r="G44" i="1"/>
  <c r="G42" i="1"/>
  <c r="G41" i="1"/>
  <c r="F40" i="1"/>
  <c r="F34" i="6" s="1"/>
  <c r="G34" i="6" s="1"/>
  <c r="G38" i="1"/>
  <c r="G37" i="1"/>
  <c r="G36" i="1"/>
  <c r="G30" i="1"/>
  <c r="G28" i="1"/>
  <c r="G13" i="1"/>
  <c r="F57" i="5" s="1"/>
  <c r="G12" i="1"/>
  <c r="G11" i="1"/>
  <c r="F56" i="5" s="1"/>
  <c r="G10" i="1"/>
  <c r="F55" i="5" s="1"/>
  <c r="F44" i="18" l="1"/>
  <c r="F44" i="14"/>
  <c r="G44" i="14" s="1"/>
  <c r="F66" i="14" s="1"/>
  <c r="E27" i="14"/>
  <c r="F44" i="7"/>
  <c r="E66" i="7" s="1"/>
  <c r="E81" i="7" s="1"/>
  <c r="G20" i="14"/>
  <c r="F20" i="14" s="1"/>
  <c r="G21" i="4"/>
  <c r="G20" i="3"/>
  <c r="F20" i="3" s="1"/>
  <c r="G21" i="3"/>
  <c r="G22" i="4"/>
  <c r="G23" i="4" s="1"/>
  <c r="G22" i="14"/>
  <c r="G23" i="14" s="1"/>
  <c r="G31" i="1"/>
  <c r="G24" i="14" s="1"/>
  <c r="F34" i="4"/>
  <c r="G34" i="4" s="1"/>
  <c r="F34" i="3"/>
  <c r="G34" i="3" s="1"/>
  <c r="G40" i="1"/>
  <c r="F19" i="2"/>
  <c r="G25" i="2"/>
  <c r="E27" i="10"/>
  <c r="F19" i="7"/>
  <c r="G21" i="7"/>
  <c r="G25" i="7"/>
  <c r="F19" i="11"/>
  <c r="G20" i="16"/>
  <c r="F20" i="16" s="1"/>
  <c r="F27" i="16" s="1"/>
  <c r="E82" i="16" s="1"/>
  <c r="F82" i="16" s="1"/>
  <c r="G20" i="11"/>
  <c r="F20" i="11" s="1"/>
  <c r="G25" i="11"/>
  <c r="G20" i="4"/>
  <c r="F20" i="4" s="1"/>
  <c r="F27" i="4" s="1"/>
  <c r="E82" i="4" s="1"/>
  <c r="F82" i="4" s="1"/>
  <c r="G21" i="15"/>
  <c r="G25" i="20"/>
  <c r="G21" i="17"/>
  <c r="F19" i="18"/>
  <c r="G25" i="18"/>
  <c r="G21" i="6"/>
  <c r="G25" i="4"/>
  <c r="G22" i="6"/>
  <c r="G23" i="6" s="1"/>
  <c r="G21" i="9"/>
  <c r="G22" i="15"/>
  <c r="G23" i="15" s="1"/>
  <c r="G20" i="2"/>
  <c r="F20" i="2" s="1"/>
  <c r="G20" i="7"/>
  <c r="F20" i="7" s="1"/>
  <c r="F19" i="6"/>
  <c r="G21" i="11"/>
  <c r="G21" i="14"/>
  <c r="F19" i="20"/>
  <c r="G20" i="5"/>
  <c r="F20" i="5" s="1"/>
  <c r="G20" i="6"/>
  <c r="F20" i="6" s="1"/>
  <c r="G21" i="8"/>
  <c r="E27" i="20"/>
  <c r="F44" i="20"/>
  <c r="G44" i="20" s="1"/>
  <c r="F66" i="20" s="1"/>
  <c r="E27" i="18"/>
  <c r="F44" i="16"/>
  <c r="E66" i="16" s="1"/>
  <c r="E81" i="16" s="1"/>
  <c r="F44" i="8"/>
  <c r="G44" i="8" s="1"/>
  <c r="F66" i="8" s="1"/>
  <c r="F44" i="5"/>
  <c r="E66" i="5" s="1"/>
  <c r="F44" i="15"/>
  <c r="F44" i="13"/>
  <c r="G44" i="13" s="1"/>
  <c r="F66" i="13" s="1"/>
  <c r="F44" i="3"/>
  <c r="E66" i="3" s="1"/>
  <c r="F44" i="4"/>
  <c r="E81" i="4" s="1"/>
  <c r="F44" i="2"/>
  <c r="E66" i="2" s="1"/>
  <c r="F44" i="12"/>
  <c r="E66" i="12" s="1"/>
  <c r="E81" i="12" s="1"/>
  <c r="F44" i="9"/>
  <c r="G44" i="9" s="1"/>
  <c r="F66" i="9" s="1"/>
  <c r="F44" i="11"/>
  <c r="G44" i="11" s="1"/>
  <c r="F66" i="11" s="1"/>
  <c r="F44" i="10"/>
  <c r="G44" i="10" s="1"/>
  <c r="F66" i="10" s="1"/>
  <c r="B23" i="21"/>
  <c r="F34" i="2"/>
  <c r="G34" i="2" s="1"/>
  <c r="G42" i="2" s="1"/>
  <c r="F19" i="3"/>
  <c r="F27" i="3" s="1"/>
  <c r="E82" i="3" s="1"/>
  <c r="F82" i="3" s="1"/>
  <c r="G25" i="3"/>
  <c r="G30" i="3"/>
  <c r="G30" i="4"/>
  <c r="F34" i="5"/>
  <c r="G34" i="5" s="1"/>
  <c r="G42" i="5" s="1"/>
  <c r="G30" i="8"/>
  <c r="F56" i="13"/>
  <c r="F55" i="2"/>
  <c r="F55" i="3"/>
  <c r="F55" i="4"/>
  <c r="F19" i="5"/>
  <c r="F27" i="5" s="1"/>
  <c r="E82" i="5" s="1"/>
  <c r="F82" i="5" s="1"/>
  <c r="G25" i="5"/>
  <c r="F34" i="9"/>
  <c r="G34" i="9" s="1"/>
  <c r="F57" i="14"/>
  <c r="F49" i="14" s="1"/>
  <c r="F55" i="17"/>
  <c r="F55" i="18"/>
  <c r="F55" i="16"/>
  <c r="F49" i="15"/>
  <c r="F55" i="13"/>
  <c r="F55" i="12"/>
  <c r="F49" i="11"/>
  <c r="F55" i="15"/>
  <c r="F55" i="14"/>
  <c r="F55" i="11"/>
  <c r="F49" i="16"/>
  <c r="F49" i="13"/>
  <c r="F55" i="10"/>
  <c r="F49" i="9"/>
  <c r="F49" i="8"/>
  <c r="F49" i="7"/>
  <c r="F49" i="6"/>
  <c r="F55" i="20"/>
  <c r="F55" i="9"/>
  <c r="F55" i="8"/>
  <c r="F55" i="7"/>
  <c r="F55" i="6"/>
  <c r="F49" i="2"/>
  <c r="F56" i="2"/>
  <c r="F56" i="3"/>
  <c r="F56" i="4"/>
  <c r="F49" i="5"/>
  <c r="F34" i="10"/>
  <c r="G34" i="10" s="1"/>
  <c r="F56" i="20"/>
  <c r="F56" i="15"/>
  <c r="F56" i="14"/>
  <c r="F56" i="11"/>
  <c r="F56" i="18"/>
  <c r="F56" i="17"/>
  <c r="F56" i="12"/>
  <c r="F56" i="16"/>
  <c r="F56" i="10"/>
  <c r="F56" i="9"/>
  <c r="F56" i="8"/>
  <c r="F56" i="7"/>
  <c r="F56" i="6"/>
  <c r="F57" i="2"/>
  <c r="F57" i="3"/>
  <c r="F49" i="3" s="1"/>
  <c r="F57" i="4"/>
  <c r="F49" i="4" s="1"/>
  <c r="G44" i="6"/>
  <c r="F66" i="6" s="1"/>
  <c r="E66" i="6"/>
  <c r="E81" i="6"/>
  <c r="F34" i="7"/>
  <c r="G34" i="7" s="1"/>
  <c r="G30" i="9"/>
  <c r="F49" i="17"/>
  <c r="F49" i="18"/>
  <c r="G30" i="7"/>
  <c r="G30" i="10"/>
  <c r="F57" i="18"/>
  <c r="F49" i="20"/>
  <c r="F57" i="17"/>
  <c r="F57" i="16"/>
  <c r="F57" i="20"/>
  <c r="F57" i="13"/>
  <c r="F57" i="12"/>
  <c r="F57" i="15"/>
  <c r="F57" i="10"/>
  <c r="F49" i="10" s="1"/>
  <c r="F49" i="12"/>
  <c r="F57" i="9"/>
  <c r="F57" i="8"/>
  <c r="F57" i="7"/>
  <c r="F57" i="6"/>
  <c r="F57" i="11"/>
  <c r="G21" i="2"/>
  <c r="G21" i="5"/>
  <c r="F34" i="20"/>
  <c r="G34" i="20" s="1"/>
  <c r="G42" i="20" s="1"/>
  <c r="F34" i="18"/>
  <c r="G34" i="18" s="1"/>
  <c r="G42" i="18" s="1"/>
  <c r="F34" i="16"/>
  <c r="G34" i="16" s="1"/>
  <c r="G42" i="16" s="1"/>
  <c r="F34" i="17"/>
  <c r="G34" i="17" s="1"/>
  <c r="G42" i="17" s="1"/>
  <c r="F34" i="13"/>
  <c r="G34" i="13" s="1"/>
  <c r="G42" i="13" s="1"/>
  <c r="F34" i="12"/>
  <c r="G34" i="12" s="1"/>
  <c r="G42" i="12" s="1"/>
  <c r="F34" i="15"/>
  <c r="G34" i="15" s="1"/>
  <c r="G42" i="15" s="1"/>
  <c r="F34" i="14"/>
  <c r="G34" i="14" s="1"/>
  <c r="F34" i="11"/>
  <c r="G34" i="11" s="1"/>
  <c r="G42" i="11" s="1"/>
  <c r="F42" i="6"/>
  <c r="G30" i="6"/>
  <c r="G42" i="6" s="1"/>
  <c r="F34" i="8"/>
  <c r="G34" i="8" s="1"/>
  <c r="F19" i="8"/>
  <c r="G25" i="8"/>
  <c r="F19" i="9"/>
  <c r="G25" i="9"/>
  <c r="F19" i="10"/>
  <c r="G25" i="10"/>
  <c r="F81" i="14"/>
  <c r="F27" i="12"/>
  <c r="E82" i="12" s="1"/>
  <c r="F82" i="12" s="1"/>
  <c r="G25" i="13"/>
  <c r="F19" i="13"/>
  <c r="G22" i="13"/>
  <c r="G23" i="13" s="1"/>
  <c r="G21" i="13"/>
  <c r="E66" i="14"/>
  <c r="E81" i="14" s="1"/>
  <c r="G20" i="8"/>
  <c r="F20" i="8" s="1"/>
  <c r="G20" i="9"/>
  <c r="F20" i="9" s="1"/>
  <c r="G20" i="10"/>
  <c r="F20" i="10" s="1"/>
  <c r="G20" i="13"/>
  <c r="F20" i="13" s="1"/>
  <c r="G21" i="10"/>
  <c r="G25" i="12"/>
  <c r="G22" i="12"/>
  <c r="G23" i="12" s="1"/>
  <c r="G21" i="12"/>
  <c r="G20" i="15"/>
  <c r="F20" i="15" s="1"/>
  <c r="F42" i="20"/>
  <c r="F44" i="17"/>
  <c r="G22" i="16"/>
  <c r="G23" i="16" s="1"/>
  <c r="G21" i="16"/>
  <c r="G44" i="18"/>
  <c r="F66" i="18" s="1"/>
  <c r="E66" i="18"/>
  <c r="E81" i="18" s="1"/>
  <c r="F19" i="14"/>
  <c r="G30" i="14"/>
  <c r="F19" i="15"/>
  <c r="G25" i="16"/>
  <c r="G20" i="17"/>
  <c r="F20" i="17" s="1"/>
  <c r="G22" i="17"/>
  <c r="G23" i="17" s="1"/>
  <c r="G20" i="18"/>
  <c r="F20" i="18" s="1"/>
  <c r="G20" i="20"/>
  <c r="F20" i="20" s="1"/>
  <c r="G21" i="18"/>
  <c r="G21" i="20"/>
  <c r="F19" i="17"/>
  <c r="G44" i="7" l="1"/>
  <c r="F66" i="7" s="1"/>
  <c r="F81" i="7" s="1"/>
  <c r="E66" i="20"/>
  <c r="E81" i="20" s="1"/>
  <c r="F27" i="14"/>
  <c r="E82" i="14" s="1"/>
  <c r="F82" i="14" s="1"/>
  <c r="G44" i="12"/>
  <c r="F66" i="12" s="1"/>
  <c r="F81" i="12" s="1"/>
  <c r="G44" i="16"/>
  <c r="F66" i="16" s="1"/>
  <c r="E66" i="4"/>
  <c r="F27" i="7"/>
  <c r="E82" i="7" s="1"/>
  <c r="F82" i="7" s="1"/>
  <c r="F42" i="11"/>
  <c r="E64" i="11" s="1"/>
  <c r="F27" i="18"/>
  <c r="E82" i="18" s="1"/>
  <c r="F82" i="18" s="1"/>
  <c r="E66" i="9"/>
  <c r="E81" i="9" s="1"/>
  <c r="G42" i="7"/>
  <c r="F79" i="7" s="1"/>
  <c r="F42" i="15"/>
  <c r="E66" i="8"/>
  <c r="E81" i="8" s="1"/>
  <c r="F27" i="6"/>
  <c r="E82" i="6" s="1"/>
  <c r="F82" i="6" s="1"/>
  <c r="F27" i="11"/>
  <c r="E82" i="11" s="1"/>
  <c r="F82" i="11" s="1"/>
  <c r="G24" i="15"/>
  <c r="G27" i="15" s="1"/>
  <c r="E67" i="15" s="1"/>
  <c r="F67" i="15" s="1"/>
  <c r="F42" i="3"/>
  <c r="E64" i="3" s="1"/>
  <c r="G44" i="4"/>
  <c r="F66" i="4" s="1"/>
  <c r="F81" i="4" s="1"/>
  <c r="G42" i="9"/>
  <c r="F79" i="9" s="1"/>
  <c r="G44" i="3"/>
  <c r="F66" i="3" s="1"/>
  <c r="F81" i="3" s="1"/>
  <c r="F27" i="2"/>
  <c r="E82" i="2" s="1"/>
  <c r="F82" i="2" s="1"/>
  <c r="F27" i="20"/>
  <c r="E82" i="20" s="1"/>
  <c r="F82" i="20" s="1"/>
  <c r="E81" i="3"/>
  <c r="G27" i="14"/>
  <c r="E67" i="14" s="1"/>
  <c r="F67" i="14" s="1"/>
  <c r="G24" i="6"/>
  <c r="G27" i="6" s="1"/>
  <c r="E67" i="6" s="1"/>
  <c r="F67" i="6" s="1"/>
  <c r="G24" i="13"/>
  <c r="G27" i="13" s="1"/>
  <c r="E67" i="13" s="1"/>
  <c r="F67" i="13" s="1"/>
  <c r="G24" i="8"/>
  <c r="G27" i="8" s="1"/>
  <c r="E67" i="8" s="1"/>
  <c r="F67" i="8" s="1"/>
  <c r="G24" i="7"/>
  <c r="G27" i="7" s="1"/>
  <c r="E67" i="7" s="1"/>
  <c r="F67" i="7" s="1"/>
  <c r="G24" i="17"/>
  <c r="G24" i="2"/>
  <c r="G27" i="2" s="1"/>
  <c r="E67" i="2" s="1"/>
  <c r="F67" i="2" s="1"/>
  <c r="G24" i="9"/>
  <c r="G27" i="9" s="1"/>
  <c r="E67" i="9" s="1"/>
  <c r="F67" i="9" s="1"/>
  <c r="G24" i="16"/>
  <c r="G27" i="16" s="1"/>
  <c r="E67" i="16" s="1"/>
  <c r="F67" i="16" s="1"/>
  <c r="G24" i="5"/>
  <c r="G27" i="5" s="1"/>
  <c r="E67" i="5" s="1"/>
  <c r="F67" i="5" s="1"/>
  <c r="G24" i="18"/>
  <c r="G27" i="18" s="1"/>
  <c r="E67" i="18" s="1"/>
  <c r="F67" i="18" s="1"/>
  <c r="G24" i="20"/>
  <c r="G27" i="20" s="1"/>
  <c r="E67" i="20" s="1"/>
  <c r="F67" i="20" s="1"/>
  <c r="G24" i="3"/>
  <c r="G27" i="3" s="1"/>
  <c r="E67" i="3" s="1"/>
  <c r="F67" i="3" s="1"/>
  <c r="G24" i="12"/>
  <c r="G27" i="12" s="1"/>
  <c r="E67" i="12" s="1"/>
  <c r="F67" i="12" s="1"/>
  <c r="G24" i="10"/>
  <c r="G27" i="10" s="1"/>
  <c r="E67" i="10" s="1"/>
  <c r="F67" i="10" s="1"/>
  <c r="G24" i="11"/>
  <c r="G27" i="11" s="1"/>
  <c r="E67" i="11" s="1"/>
  <c r="F67" i="11" s="1"/>
  <c r="G24" i="4"/>
  <c r="G27" i="4" s="1"/>
  <c r="E67" i="4" s="1"/>
  <c r="F67" i="4" s="1"/>
  <c r="F42" i="14"/>
  <c r="E64" i="14" s="1"/>
  <c r="F42" i="9"/>
  <c r="E64" i="9" s="1"/>
  <c r="G42" i="4"/>
  <c r="F79" i="4" s="1"/>
  <c r="G42" i="3"/>
  <c r="F79" i="3" s="1"/>
  <c r="F42" i="4"/>
  <c r="E79" i="4" s="1"/>
  <c r="G42" i="14"/>
  <c r="F79" i="14" s="1"/>
  <c r="G42" i="10"/>
  <c r="F64" i="10" s="1"/>
  <c r="F27" i="17"/>
  <c r="E82" i="17" s="1"/>
  <c r="F82" i="17" s="1"/>
  <c r="F27" i="9"/>
  <c r="E82" i="9" s="1"/>
  <c r="F82" i="9" s="1"/>
  <c r="F27" i="15"/>
  <c r="E82" i="15" s="1"/>
  <c r="F82" i="15" s="1"/>
  <c r="F27" i="8"/>
  <c r="E82" i="8" s="1"/>
  <c r="F82" i="8" s="1"/>
  <c r="F42" i="10"/>
  <c r="E64" i="10" s="1"/>
  <c r="F27" i="10"/>
  <c r="E82" i="10" s="1"/>
  <c r="F82" i="10" s="1"/>
  <c r="F42" i="7"/>
  <c r="E64" i="7" s="1"/>
  <c r="F27" i="13"/>
  <c r="E82" i="13" s="1"/>
  <c r="F82" i="13" s="1"/>
  <c r="G44" i="5"/>
  <c r="F66" i="5" s="1"/>
  <c r="F81" i="5" s="1"/>
  <c r="E81" i="5"/>
  <c r="E66" i="13"/>
  <c r="E81" i="13" s="1"/>
  <c r="G44" i="2"/>
  <c r="F66" i="2" s="1"/>
  <c r="F81" i="2" s="1"/>
  <c r="E81" i="2"/>
  <c r="G44" i="15"/>
  <c r="F66" i="15" s="1"/>
  <c r="F81" i="15" s="1"/>
  <c r="E66" i="15"/>
  <c r="E81" i="15" s="1"/>
  <c r="E66" i="11"/>
  <c r="E81" i="11" s="1"/>
  <c r="E66" i="10"/>
  <c r="E81" i="10" s="1"/>
  <c r="F51" i="2"/>
  <c r="G51" i="2" s="1"/>
  <c r="G49" i="2"/>
  <c r="F64" i="15"/>
  <c r="F79" i="15"/>
  <c r="F64" i="17"/>
  <c r="F79" i="17"/>
  <c r="F79" i="5"/>
  <c r="F64" i="5"/>
  <c r="F64" i="12"/>
  <c r="F79" i="12"/>
  <c r="F64" i="16"/>
  <c r="F79" i="16"/>
  <c r="F51" i="4"/>
  <c r="G51" i="4" s="1"/>
  <c r="G49" i="4"/>
  <c r="F51" i="9"/>
  <c r="G51" i="9" s="1"/>
  <c r="G49" i="9"/>
  <c r="F51" i="8"/>
  <c r="G51" i="8" s="1"/>
  <c r="G49" i="8"/>
  <c r="F51" i="6"/>
  <c r="G51" i="6" s="1"/>
  <c r="G49" i="6"/>
  <c r="F51" i="10"/>
  <c r="G51" i="10" s="1"/>
  <c r="G49" i="10"/>
  <c r="F51" i="7"/>
  <c r="G51" i="7" s="1"/>
  <c r="G49" i="7"/>
  <c r="F51" i="12"/>
  <c r="G51" i="12" s="1"/>
  <c r="G49" i="12"/>
  <c r="F51" i="16"/>
  <c r="G51" i="16" s="1"/>
  <c r="G49" i="16"/>
  <c r="F51" i="20"/>
  <c r="G51" i="20" s="1"/>
  <c r="G49" i="20"/>
  <c r="F64" i="13"/>
  <c r="F79" i="13"/>
  <c r="F81" i="6"/>
  <c r="F42" i="8"/>
  <c r="F51" i="5"/>
  <c r="G51" i="5" s="1"/>
  <c r="G49" i="5"/>
  <c r="E64" i="20"/>
  <c r="E79" i="20"/>
  <c r="F51" i="3"/>
  <c r="G51" i="3" s="1"/>
  <c r="G49" i="3"/>
  <c r="F81" i="18"/>
  <c r="F51" i="13"/>
  <c r="G51" i="13" s="1"/>
  <c r="G49" i="13"/>
  <c r="F81" i="11"/>
  <c r="F81" i="16"/>
  <c r="F51" i="18"/>
  <c r="G51" i="18" s="1"/>
  <c r="G49" i="18"/>
  <c r="E64" i="15"/>
  <c r="E79" i="15"/>
  <c r="E64" i="6"/>
  <c r="E79" i="6"/>
  <c r="F64" i="11"/>
  <c r="F79" i="11"/>
  <c r="F81" i="8"/>
  <c r="F81" i="13"/>
  <c r="G27" i="17"/>
  <c r="E67" i="17" s="1"/>
  <c r="F67" i="17" s="1"/>
  <c r="F81" i="20"/>
  <c r="F81" i="10"/>
  <c r="F51" i="14"/>
  <c r="G51" i="14" s="1"/>
  <c r="G49" i="14"/>
  <c r="F51" i="17"/>
  <c r="G51" i="17" s="1"/>
  <c r="G49" i="17"/>
  <c r="F42" i="17"/>
  <c r="F79" i="18"/>
  <c r="F64" i="18"/>
  <c r="F51" i="11"/>
  <c r="G51" i="11" s="1"/>
  <c r="G49" i="11"/>
  <c r="F79" i="2"/>
  <c r="F64" i="2"/>
  <c r="F42" i="18"/>
  <c r="G44" i="17"/>
  <c r="F66" i="17" s="1"/>
  <c r="E66" i="17"/>
  <c r="E81" i="17" s="1"/>
  <c r="F42" i="13"/>
  <c r="F64" i="20"/>
  <c r="F79" i="20"/>
  <c r="F51" i="15"/>
  <c r="G51" i="15" s="1"/>
  <c r="G49" i="15"/>
  <c r="F79" i="6"/>
  <c r="F64" i="6"/>
  <c r="F81" i="9"/>
  <c r="F42" i="16"/>
  <c r="F42" i="12"/>
  <c r="F42" i="5"/>
  <c r="G42" i="8"/>
  <c r="F42" i="2"/>
  <c r="E79" i="11" l="1"/>
  <c r="F64" i="7"/>
  <c r="F64" i="14"/>
  <c r="F79" i="10"/>
  <c r="F64" i="9"/>
  <c r="E79" i="3"/>
  <c r="E79" i="9"/>
  <c r="F64" i="3"/>
  <c r="F64" i="4"/>
  <c r="E79" i="10"/>
  <c r="E64" i="4"/>
  <c r="E79" i="14"/>
  <c r="E79" i="7"/>
  <c r="E78" i="5"/>
  <c r="E63" i="5"/>
  <c r="E78" i="20"/>
  <c r="E63" i="20"/>
  <c r="E63" i="9"/>
  <c r="E78" i="9"/>
  <c r="E63" i="18"/>
  <c r="E78" i="18"/>
  <c r="E64" i="5"/>
  <c r="E79" i="5"/>
  <c r="F81" i="17"/>
  <c r="E78" i="14"/>
  <c r="E63" i="14"/>
  <c r="E64" i="8"/>
  <c r="E79" i="8"/>
  <c r="E78" i="10"/>
  <c r="E63" i="10"/>
  <c r="F63" i="8"/>
  <c r="E63" i="8"/>
  <c r="E78" i="8"/>
  <c r="E64" i="12"/>
  <c r="E79" i="12"/>
  <c r="E64" i="18"/>
  <c r="E79" i="18"/>
  <c r="E78" i="13"/>
  <c r="E63" i="13"/>
  <c r="E78" i="16"/>
  <c r="E63" i="16"/>
  <c r="E63" i="4"/>
  <c r="E78" i="4"/>
  <c r="E64" i="13"/>
  <c r="E79" i="13"/>
  <c r="E64" i="17"/>
  <c r="E79" i="17"/>
  <c r="E78" i="12"/>
  <c r="E63" i="12"/>
  <c r="E79" i="2"/>
  <c r="E64" i="2"/>
  <c r="F79" i="8"/>
  <c r="F64" i="8"/>
  <c r="E63" i="2"/>
  <c r="E78" i="2"/>
  <c r="E80" i="2" s="1"/>
  <c r="E78" i="15"/>
  <c r="E63" i="15"/>
  <c r="E78" i="17"/>
  <c r="E63" i="17"/>
  <c r="E63" i="3"/>
  <c r="E78" i="3"/>
  <c r="E64" i="16"/>
  <c r="E79" i="16"/>
  <c r="E78" i="11"/>
  <c r="E63" i="11"/>
  <c r="E63" i="7"/>
  <c r="E78" i="7"/>
  <c r="E63" i="6"/>
  <c r="E78" i="6"/>
  <c r="F63" i="9" l="1"/>
  <c r="E65" i="9"/>
  <c r="F65" i="9" s="1"/>
  <c r="F78" i="16"/>
  <c r="E80" i="16"/>
  <c r="F80" i="16" s="1"/>
  <c r="F78" i="15"/>
  <c r="E80" i="15"/>
  <c r="F80" i="15" s="1"/>
  <c r="E65" i="8"/>
  <c r="F65" i="8" s="1"/>
  <c r="F68" i="8" s="1"/>
  <c r="E65" i="14"/>
  <c r="E68" i="14" s="1"/>
  <c r="F63" i="14"/>
  <c r="F80" i="2"/>
  <c r="F78" i="2"/>
  <c r="F63" i="13"/>
  <c r="E65" i="13"/>
  <c r="F65" i="13" s="1"/>
  <c r="F78" i="14"/>
  <c r="F78" i="18"/>
  <c r="F63" i="20"/>
  <c r="E65" i="20"/>
  <c r="E68" i="20" s="1"/>
  <c r="E80" i="6"/>
  <c r="F80" i="6" s="1"/>
  <c r="F78" i="6"/>
  <c r="F78" i="3"/>
  <c r="F63" i="2"/>
  <c r="E65" i="2"/>
  <c r="F65" i="2" s="1"/>
  <c r="F78" i="13"/>
  <c r="E80" i="13"/>
  <c r="F80" i="13" s="1"/>
  <c r="E65" i="10"/>
  <c r="E68" i="10" s="1"/>
  <c r="F63" i="10"/>
  <c r="F63" i="18"/>
  <c r="E65" i="18"/>
  <c r="E68" i="18" s="1"/>
  <c r="F78" i="20"/>
  <c r="E65" i="15"/>
  <c r="F65" i="15" s="1"/>
  <c r="F63" i="15"/>
  <c r="F63" i="6"/>
  <c r="E65" i="6"/>
  <c r="F65" i="6" s="1"/>
  <c r="F63" i="3"/>
  <c r="E65" i="3"/>
  <c r="F78" i="10"/>
  <c r="F63" i="5"/>
  <c r="E65" i="5"/>
  <c r="F78" i="17"/>
  <c r="F63" i="16"/>
  <c r="E65" i="16"/>
  <c r="F65" i="16" s="1"/>
  <c r="E80" i="7"/>
  <c r="F80" i="7" s="1"/>
  <c r="F78" i="7"/>
  <c r="E65" i="11"/>
  <c r="F65" i="11" s="1"/>
  <c r="F63" i="11"/>
  <c r="F63" i="12"/>
  <c r="E65" i="12"/>
  <c r="E68" i="12" s="1"/>
  <c r="F78" i="4"/>
  <c r="F78" i="5"/>
  <c r="E80" i="8"/>
  <c r="F80" i="8" s="1"/>
  <c r="F78" i="8"/>
  <c r="F63" i="7"/>
  <c r="E65" i="7"/>
  <c r="F65" i="7" s="1"/>
  <c r="F78" i="11"/>
  <c r="E80" i="11"/>
  <c r="F80" i="11" s="1"/>
  <c r="F63" i="17"/>
  <c r="E65" i="17"/>
  <c r="F78" i="12"/>
  <c r="F63" i="4"/>
  <c r="E65" i="4"/>
  <c r="E68" i="4" s="1"/>
  <c r="E80" i="9"/>
  <c r="F80" i="9" s="1"/>
  <c r="F78" i="9"/>
  <c r="E68" i="16" l="1"/>
  <c r="E69" i="16" s="1"/>
  <c r="F69" i="16" s="1"/>
  <c r="E68" i="15"/>
  <c r="E69" i="15" s="1"/>
  <c r="F69" i="15" s="1"/>
  <c r="E68" i="7"/>
  <c r="E69" i="7" s="1"/>
  <c r="F69" i="7" s="1"/>
  <c r="E68" i="13"/>
  <c r="E69" i="13" s="1"/>
  <c r="F69" i="13" s="1"/>
  <c r="E83" i="13"/>
  <c r="E84" i="13" s="1"/>
  <c r="F84" i="13" s="1"/>
  <c r="E83" i="8"/>
  <c r="E68" i="2"/>
  <c r="E69" i="2" s="1"/>
  <c r="F69" i="2" s="1"/>
  <c r="E68" i="11"/>
  <c r="E69" i="11" s="1"/>
  <c r="F69" i="11" s="1"/>
  <c r="E69" i="18"/>
  <c r="F69" i="18" s="1"/>
  <c r="E69" i="20"/>
  <c r="F69" i="20" s="1"/>
  <c r="E80" i="17"/>
  <c r="F65" i="17"/>
  <c r="F83" i="8"/>
  <c r="E80" i="12"/>
  <c r="F65" i="12"/>
  <c r="F68" i="12" s="1"/>
  <c r="E83" i="7"/>
  <c r="E68" i="6"/>
  <c r="E69" i="14"/>
  <c r="F69" i="14" s="1"/>
  <c r="E83" i="16"/>
  <c r="F68" i="7"/>
  <c r="F83" i="7"/>
  <c r="E68" i="17"/>
  <c r="E80" i="18"/>
  <c r="F65" i="18"/>
  <c r="F68" i="18" s="1"/>
  <c r="E69" i="12"/>
  <c r="F69" i="12" s="1"/>
  <c r="F68" i="6"/>
  <c r="E80" i="20"/>
  <c r="F65" i="20"/>
  <c r="F68" i="20" s="1"/>
  <c r="E80" i="14"/>
  <c r="F65" i="14"/>
  <c r="F83" i="16"/>
  <c r="F83" i="9"/>
  <c r="E83" i="11"/>
  <c r="F68" i="15"/>
  <c r="E69" i="10"/>
  <c r="F69" i="10" s="1"/>
  <c r="F68" i="2"/>
  <c r="F83" i="13"/>
  <c r="F83" i="11"/>
  <c r="F68" i="11"/>
  <c r="F68" i="16"/>
  <c r="F68" i="13"/>
  <c r="E68" i="8"/>
  <c r="E68" i="9"/>
  <c r="E83" i="6"/>
  <c r="E83" i="9"/>
  <c r="E80" i="3"/>
  <c r="F65" i="3"/>
  <c r="E80" i="10"/>
  <c r="F65" i="10"/>
  <c r="F68" i="10" s="1"/>
  <c r="F83" i="2"/>
  <c r="F68" i="9"/>
  <c r="E69" i="4"/>
  <c r="F69" i="4" s="1"/>
  <c r="E80" i="5"/>
  <c r="F65" i="5"/>
  <c r="F83" i="15"/>
  <c r="E68" i="5"/>
  <c r="E80" i="4"/>
  <c r="F65" i="4"/>
  <c r="E68" i="3"/>
  <c r="F83" i="6"/>
  <c r="E83" i="2"/>
  <c r="E83" i="15"/>
  <c r="E70" i="4" l="1"/>
  <c r="F70" i="4" s="1"/>
  <c r="E70" i="20"/>
  <c r="F70" i="20" s="1"/>
  <c r="F72" i="20" s="1"/>
  <c r="G65" i="20" s="1"/>
  <c r="E70" i="7"/>
  <c r="F70" i="7" s="1"/>
  <c r="F72" i="7" s="1"/>
  <c r="E70" i="2"/>
  <c r="F70" i="2" s="1"/>
  <c r="F72" i="2" s="1"/>
  <c r="E70" i="18"/>
  <c r="F70" i="18" s="1"/>
  <c r="F72" i="18" s="1"/>
  <c r="E70" i="13"/>
  <c r="F70" i="13" s="1"/>
  <c r="F72" i="13" s="1"/>
  <c r="E70" i="14"/>
  <c r="F70" i="14" s="1"/>
  <c r="E84" i="8"/>
  <c r="E70" i="16"/>
  <c r="F70" i="16" s="1"/>
  <c r="F72" i="16" s="1"/>
  <c r="G70" i="16" s="1"/>
  <c r="E70" i="11"/>
  <c r="F70" i="11" s="1"/>
  <c r="F72" i="11" s="1"/>
  <c r="E69" i="5"/>
  <c r="F69" i="5" s="1"/>
  <c r="F80" i="18"/>
  <c r="E83" i="18"/>
  <c r="E69" i="9"/>
  <c r="F69" i="9" s="1"/>
  <c r="F80" i="14"/>
  <c r="E83" i="14"/>
  <c r="E69" i="17"/>
  <c r="F69" i="17" s="1"/>
  <c r="E84" i="16"/>
  <c r="F84" i="16" s="1"/>
  <c r="E84" i="7"/>
  <c r="F84" i="7" s="1"/>
  <c r="F80" i="17"/>
  <c r="E83" i="17"/>
  <c r="E69" i="8"/>
  <c r="F69" i="8" s="1"/>
  <c r="F80" i="5"/>
  <c r="E83" i="5"/>
  <c r="E84" i="9"/>
  <c r="F84" i="9" s="1"/>
  <c r="E70" i="15"/>
  <c r="F70" i="15" s="1"/>
  <c r="E70" i="10"/>
  <c r="F70" i="10" s="1"/>
  <c r="F72" i="10" s="1"/>
  <c r="G65" i="10" s="1"/>
  <c r="E85" i="13"/>
  <c r="F85" i="13" s="1"/>
  <c r="F87" i="13" s="1"/>
  <c r="G84" i="13" s="1"/>
  <c r="F80" i="12"/>
  <c r="E83" i="12"/>
  <c r="E69" i="3"/>
  <c r="F69" i="3" s="1"/>
  <c r="F80" i="4"/>
  <c r="E83" i="4"/>
  <c r="E84" i="6"/>
  <c r="F84" i="6" s="1"/>
  <c r="F80" i="20"/>
  <c r="E83" i="20"/>
  <c r="E84" i="11"/>
  <c r="F84" i="11" s="1"/>
  <c r="F68" i="17"/>
  <c r="F80" i="10"/>
  <c r="E83" i="10"/>
  <c r="F80" i="3"/>
  <c r="E83" i="3"/>
  <c r="E84" i="15"/>
  <c r="F84" i="15" s="1"/>
  <c r="F68" i="14"/>
  <c r="E84" i="2"/>
  <c r="F84" i="2" s="1"/>
  <c r="F68" i="4"/>
  <c r="E69" i="6"/>
  <c r="F69" i="6" s="1"/>
  <c r="F68" i="3"/>
  <c r="E70" i="12"/>
  <c r="F68" i="5"/>
  <c r="G74" i="2" l="1"/>
  <c r="G75" i="2" s="1"/>
  <c r="E72" i="4"/>
  <c r="F72" i="4"/>
  <c r="G69" i="4" s="1"/>
  <c r="E72" i="18"/>
  <c r="E70" i="5"/>
  <c r="F70" i="5" s="1"/>
  <c r="F72" i="5" s="1"/>
  <c r="G65" i="5" s="1"/>
  <c r="E72" i="20"/>
  <c r="E72" i="2"/>
  <c r="E72" i="7"/>
  <c r="F72" i="14"/>
  <c r="G69" i="14" s="1"/>
  <c r="E72" i="13"/>
  <c r="G64" i="2"/>
  <c r="G70" i="2"/>
  <c r="G69" i="2"/>
  <c r="G66" i="2"/>
  <c r="G67" i="2"/>
  <c r="G64" i="18"/>
  <c r="G74" i="18"/>
  <c r="G70" i="18"/>
  <c r="G63" i="18"/>
  <c r="G69" i="18"/>
  <c r="G65" i="18"/>
  <c r="G66" i="18"/>
  <c r="G67" i="18"/>
  <c r="E70" i="6"/>
  <c r="F70" i="6" s="1"/>
  <c r="F72" i="6" s="1"/>
  <c r="E87" i="13"/>
  <c r="E85" i="16"/>
  <c r="F85" i="16" s="1"/>
  <c r="F87" i="16" s="1"/>
  <c r="G81" i="16" s="1"/>
  <c r="E72" i="16"/>
  <c r="G69" i="20"/>
  <c r="E72" i="14"/>
  <c r="E85" i="6"/>
  <c r="F85" i="6" s="1"/>
  <c r="F87" i="6" s="1"/>
  <c r="G85" i="6" s="1"/>
  <c r="E70" i="8"/>
  <c r="F70" i="8" s="1"/>
  <c r="F72" i="8" s="1"/>
  <c r="G69" i="16"/>
  <c r="F84" i="8"/>
  <c r="E70" i="9"/>
  <c r="F70" i="9" s="1"/>
  <c r="F72" i="9" s="1"/>
  <c r="G70" i="9" s="1"/>
  <c r="G65" i="2"/>
  <c r="G63" i="2"/>
  <c r="E85" i="8"/>
  <c r="F85" i="8" s="1"/>
  <c r="E85" i="11"/>
  <c r="F85" i="11" s="1"/>
  <c r="F87" i="11" s="1"/>
  <c r="G79" i="11" s="1"/>
  <c r="G63" i="11"/>
  <c r="G65" i="11"/>
  <c r="G69" i="11"/>
  <c r="G66" i="11"/>
  <c r="G67" i="11"/>
  <c r="G64" i="11"/>
  <c r="G74" i="11"/>
  <c r="G70" i="11"/>
  <c r="E72" i="11"/>
  <c r="F83" i="17"/>
  <c r="C4" i="21"/>
  <c r="E4" i="21" s="1"/>
  <c r="E84" i="12"/>
  <c r="F84" i="12" s="1"/>
  <c r="G74" i="13"/>
  <c r="G66" i="13"/>
  <c r="G67" i="13"/>
  <c r="G64" i="13"/>
  <c r="G63" i="13"/>
  <c r="G65" i="13"/>
  <c r="G70" i="20"/>
  <c r="E70" i="17"/>
  <c r="F70" i="17" s="1"/>
  <c r="E84" i="18"/>
  <c r="F84" i="18" s="1"/>
  <c r="G74" i="10"/>
  <c r="G66" i="10"/>
  <c r="G67" i="10"/>
  <c r="G64" i="10"/>
  <c r="G63" i="10"/>
  <c r="F83" i="12"/>
  <c r="E85" i="7"/>
  <c r="F85" i="7" s="1"/>
  <c r="E85" i="2"/>
  <c r="E84" i="10"/>
  <c r="F84" i="10" s="1"/>
  <c r="G69" i="10"/>
  <c r="G85" i="13"/>
  <c r="E85" i="9"/>
  <c r="E84" i="14"/>
  <c r="F84" i="14" s="1"/>
  <c r="F83" i="18"/>
  <c r="G89" i="13"/>
  <c r="G82" i="13"/>
  <c r="G81" i="13"/>
  <c r="G79" i="13"/>
  <c r="G78" i="13"/>
  <c r="G80" i="13"/>
  <c r="E84" i="3"/>
  <c r="F84" i="3" s="1"/>
  <c r="F83" i="10"/>
  <c r="F72" i="15"/>
  <c r="E84" i="20"/>
  <c r="F84" i="20" s="1"/>
  <c r="E84" i="4"/>
  <c r="F84" i="4" s="1"/>
  <c r="F83" i="14"/>
  <c r="G74" i="7"/>
  <c r="G66" i="7"/>
  <c r="G67" i="7"/>
  <c r="G64" i="7"/>
  <c r="G63" i="7"/>
  <c r="G65" i="7"/>
  <c r="F70" i="12"/>
  <c r="E72" i="12"/>
  <c r="G74" i="16"/>
  <c r="G66" i="16"/>
  <c r="G67" i="16"/>
  <c r="G64" i="16"/>
  <c r="G63" i="16"/>
  <c r="G65" i="16"/>
  <c r="F83" i="3"/>
  <c r="G74" i="20"/>
  <c r="G67" i="20"/>
  <c r="G66" i="20"/>
  <c r="G64" i="20"/>
  <c r="G63" i="20"/>
  <c r="F83" i="20"/>
  <c r="F83" i="4"/>
  <c r="G70" i="7"/>
  <c r="G70" i="10"/>
  <c r="E84" i="5"/>
  <c r="F84" i="5" s="1"/>
  <c r="E87" i="16"/>
  <c r="E72" i="10"/>
  <c r="E85" i="15"/>
  <c r="G69" i="7"/>
  <c r="G70" i="13"/>
  <c r="E70" i="3"/>
  <c r="G69" i="13"/>
  <c r="F83" i="5"/>
  <c r="E84" i="17"/>
  <c r="F84" i="17" s="1"/>
  <c r="E72" i="15"/>
  <c r="F12" i="2" l="1"/>
  <c r="G12" i="2" s="1"/>
  <c r="G75" i="10"/>
  <c r="F12" i="10"/>
  <c r="G12" i="10" s="1"/>
  <c r="F12" i="20"/>
  <c r="G12" i="20" s="1"/>
  <c r="G75" i="20"/>
  <c r="C20" i="21"/>
  <c r="E20" i="21" s="1"/>
  <c r="G20" i="21" s="1"/>
  <c r="G75" i="18"/>
  <c r="F12" i="18"/>
  <c r="G12" i="18" s="1"/>
  <c r="F12" i="16"/>
  <c r="G12" i="16" s="1"/>
  <c r="G75" i="16"/>
  <c r="F12" i="13"/>
  <c r="G12" i="13" s="1"/>
  <c r="G75" i="13"/>
  <c r="G75" i="11"/>
  <c r="F12" i="11"/>
  <c r="G12" i="11" s="1"/>
  <c r="G90" i="13"/>
  <c r="F14" i="13"/>
  <c r="G14" i="13" s="1"/>
  <c r="F12" i="7"/>
  <c r="G12" i="7" s="1"/>
  <c r="G75" i="7"/>
  <c r="G64" i="4"/>
  <c r="G67" i="4"/>
  <c r="G66" i="4"/>
  <c r="G74" i="4"/>
  <c r="G70" i="4"/>
  <c r="G65" i="4"/>
  <c r="G63" i="4"/>
  <c r="E72" i="5"/>
  <c r="G63" i="14"/>
  <c r="E87" i="11"/>
  <c r="G65" i="14"/>
  <c r="G70" i="14"/>
  <c r="E85" i="10"/>
  <c r="F85" i="10" s="1"/>
  <c r="F87" i="10" s="1"/>
  <c r="G85" i="10" s="1"/>
  <c r="G67" i="14"/>
  <c r="G74" i="14"/>
  <c r="G70" i="5"/>
  <c r="G64" i="14"/>
  <c r="G66" i="14"/>
  <c r="G85" i="11"/>
  <c r="G78" i="11"/>
  <c r="G82" i="11"/>
  <c r="G66" i="5"/>
  <c r="G84" i="11"/>
  <c r="E72" i="8"/>
  <c r="G84" i="16"/>
  <c r="G74" i="5"/>
  <c r="G69" i="5"/>
  <c r="G79" i="16"/>
  <c r="G85" i="16"/>
  <c r="G89" i="16"/>
  <c r="G89" i="11"/>
  <c r="G63" i="5"/>
  <c r="G64" i="5"/>
  <c r="G82" i="16"/>
  <c r="G67" i="5"/>
  <c r="G72" i="18"/>
  <c r="G80" i="16"/>
  <c r="G78" i="16"/>
  <c r="G67" i="6"/>
  <c r="G65" i="6"/>
  <c r="G64" i="6"/>
  <c r="G66" i="6"/>
  <c r="G63" i="6"/>
  <c r="G69" i="6"/>
  <c r="G74" i="6"/>
  <c r="G70" i="6"/>
  <c r="E87" i="6"/>
  <c r="E72" i="6"/>
  <c r="G72" i="2"/>
  <c r="E85" i="4"/>
  <c r="E85" i="18"/>
  <c r="F85" i="18" s="1"/>
  <c r="F87" i="18" s="1"/>
  <c r="G72" i="16"/>
  <c r="G72" i="7"/>
  <c r="E87" i="8"/>
  <c r="F87" i="8"/>
  <c r="E72" i="9"/>
  <c r="G80" i="11"/>
  <c r="G81" i="11"/>
  <c r="E85" i="5"/>
  <c r="F85" i="5" s="1"/>
  <c r="F87" i="5" s="1"/>
  <c r="G80" i="5" s="1"/>
  <c r="E87" i="7"/>
  <c r="G72" i="11"/>
  <c r="C13" i="21"/>
  <c r="E13" i="21" s="1"/>
  <c r="G13" i="21" s="1"/>
  <c r="G74" i="15"/>
  <c r="G66" i="15"/>
  <c r="G64" i="15"/>
  <c r="G67" i="15"/>
  <c r="G63" i="15"/>
  <c r="G65" i="15"/>
  <c r="G69" i="15"/>
  <c r="D15" i="21"/>
  <c r="F15" i="21" s="1"/>
  <c r="H15" i="21" s="1"/>
  <c r="G72" i="10"/>
  <c r="G4" i="21"/>
  <c r="G89" i="6"/>
  <c r="G82" i="6"/>
  <c r="G81" i="6"/>
  <c r="G79" i="6"/>
  <c r="G80" i="6"/>
  <c r="G78" i="6"/>
  <c r="C21" i="21"/>
  <c r="E21" i="21" s="1"/>
  <c r="G21" i="21" s="1"/>
  <c r="G74" i="8"/>
  <c r="G66" i="8"/>
  <c r="G67" i="8"/>
  <c r="G64" i="8"/>
  <c r="G63" i="8"/>
  <c r="G65" i="8"/>
  <c r="G87" i="13"/>
  <c r="G70" i="8"/>
  <c r="G69" i="8"/>
  <c r="E85" i="12"/>
  <c r="F85" i="12" s="1"/>
  <c r="F87" i="12" s="1"/>
  <c r="F70" i="3"/>
  <c r="E72" i="3"/>
  <c r="C18" i="21"/>
  <c r="E18" i="21" s="1"/>
  <c r="G18" i="21" s="1"/>
  <c r="G74" i="9"/>
  <c r="G66" i="9"/>
  <c r="G64" i="9"/>
  <c r="G67" i="9"/>
  <c r="G63" i="9"/>
  <c r="G65" i="9"/>
  <c r="E85" i="3"/>
  <c r="F85" i="3" s="1"/>
  <c r="F87" i="3" s="1"/>
  <c r="G84" i="3" s="1"/>
  <c r="F85" i="9"/>
  <c r="E87" i="9"/>
  <c r="F85" i="2"/>
  <c r="F87" i="2" s="1"/>
  <c r="E87" i="2"/>
  <c r="C12" i="21"/>
  <c r="E12" i="21" s="1"/>
  <c r="G12" i="21" s="1"/>
  <c r="F85" i="15"/>
  <c r="E87" i="15"/>
  <c r="C15" i="21"/>
  <c r="E15" i="21" s="1"/>
  <c r="G15" i="21" s="1"/>
  <c r="E72" i="17"/>
  <c r="C9" i="21"/>
  <c r="E9" i="21" s="1"/>
  <c r="G9" i="21" s="1"/>
  <c r="E85" i="17"/>
  <c r="F85" i="17" s="1"/>
  <c r="F72" i="17"/>
  <c r="G70" i="17" s="1"/>
  <c r="G69" i="9"/>
  <c r="F72" i="12"/>
  <c r="G70" i="12" s="1"/>
  <c r="E85" i="20"/>
  <c r="F85" i="20" s="1"/>
  <c r="F87" i="20" s="1"/>
  <c r="G84" i="20" s="1"/>
  <c r="F87" i="7"/>
  <c r="G72" i="13"/>
  <c r="G72" i="20"/>
  <c r="E85" i="14"/>
  <c r="G84" i="6"/>
  <c r="G70" i="15"/>
  <c r="G75" i="4" l="1"/>
  <c r="F12" i="4"/>
  <c r="G12" i="4" s="1"/>
  <c r="F12" i="14"/>
  <c r="G12" i="14" s="1"/>
  <c r="G75" i="14"/>
  <c r="F12" i="6"/>
  <c r="G12" i="6" s="1"/>
  <c r="G75" i="6"/>
  <c r="F14" i="16"/>
  <c r="G14" i="16" s="1"/>
  <c r="G90" i="16"/>
  <c r="F12" i="5"/>
  <c r="G12" i="5" s="1"/>
  <c r="G75" i="5"/>
  <c r="F14" i="6"/>
  <c r="G14" i="6" s="1"/>
  <c r="G90" i="6"/>
  <c r="G75" i="9"/>
  <c r="F12" i="9"/>
  <c r="G12" i="9" s="1"/>
  <c r="F12" i="8"/>
  <c r="G12" i="8" s="1"/>
  <c r="G75" i="8"/>
  <c r="F12" i="15"/>
  <c r="G12" i="15" s="1"/>
  <c r="G75" i="15"/>
  <c r="G90" i="11"/>
  <c r="F14" i="11"/>
  <c r="G14" i="11" s="1"/>
  <c r="C6" i="21"/>
  <c r="E6" i="21" s="1"/>
  <c r="G6" i="21" s="1"/>
  <c r="G72" i="4"/>
  <c r="C7" i="21"/>
  <c r="E7" i="21" s="1"/>
  <c r="G7" i="21" s="1"/>
  <c r="C8" i="21"/>
  <c r="E8" i="21" s="1"/>
  <c r="G8" i="21" s="1"/>
  <c r="C16" i="21"/>
  <c r="E16" i="21" s="1"/>
  <c r="G16" i="21" s="1"/>
  <c r="E87" i="10"/>
  <c r="G72" i="14"/>
  <c r="G87" i="11"/>
  <c r="G87" i="16"/>
  <c r="G72" i="5"/>
  <c r="E87" i="5"/>
  <c r="D18" i="21"/>
  <c r="F18" i="21" s="1"/>
  <c r="H18" i="21" s="1"/>
  <c r="D13" i="21"/>
  <c r="F13" i="21" s="1"/>
  <c r="H13" i="21" s="1"/>
  <c r="E87" i="18"/>
  <c r="G80" i="18"/>
  <c r="G82" i="18"/>
  <c r="G84" i="18"/>
  <c r="G79" i="18"/>
  <c r="G78" i="18"/>
  <c r="G81" i="18"/>
  <c r="G85" i="18"/>
  <c r="G72" i="6"/>
  <c r="G85" i="5"/>
  <c r="E87" i="20"/>
  <c r="G89" i="18"/>
  <c r="G79" i="5"/>
  <c r="G78" i="5"/>
  <c r="G84" i="5"/>
  <c r="G89" i="5"/>
  <c r="G81" i="5"/>
  <c r="G82" i="5"/>
  <c r="F85" i="4"/>
  <c r="E87" i="4"/>
  <c r="G85" i="8"/>
  <c r="G82" i="8"/>
  <c r="G80" i="8"/>
  <c r="G78" i="8"/>
  <c r="G89" i="8"/>
  <c r="G84" i="8"/>
  <c r="G81" i="8"/>
  <c r="G79" i="8"/>
  <c r="G72" i="15"/>
  <c r="G84" i="10"/>
  <c r="E87" i="17"/>
  <c r="G89" i="12"/>
  <c r="G82" i="12"/>
  <c r="G81" i="12"/>
  <c r="G79" i="12"/>
  <c r="G78" i="12"/>
  <c r="G80" i="12"/>
  <c r="G85" i="12"/>
  <c r="E87" i="12"/>
  <c r="G72" i="8"/>
  <c r="G74" i="12"/>
  <c r="G66" i="12"/>
  <c r="G67" i="12"/>
  <c r="G64" i="12"/>
  <c r="G63" i="12"/>
  <c r="G65" i="12"/>
  <c r="G69" i="12"/>
  <c r="G89" i="20"/>
  <c r="G82" i="20"/>
  <c r="G81" i="20"/>
  <c r="G79" i="20"/>
  <c r="G78" i="20"/>
  <c r="G80" i="20"/>
  <c r="D8" i="21"/>
  <c r="F8" i="21" s="1"/>
  <c r="H8" i="21" s="1"/>
  <c r="G89" i="10"/>
  <c r="G82" i="10"/>
  <c r="G79" i="10"/>
  <c r="G81" i="10"/>
  <c r="G78" i="10"/>
  <c r="G80" i="10"/>
  <c r="G89" i="7"/>
  <c r="G82" i="7"/>
  <c r="G81" i="7"/>
  <c r="G79" i="7"/>
  <c r="G78" i="7"/>
  <c r="G80" i="7"/>
  <c r="G84" i="7"/>
  <c r="G72" i="9"/>
  <c r="G84" i="12"/>
  <c r="G85" i="7"/>
  <c r="G89" i="3"/>
  <c r="G82" i="3"/>
  <c r="G81" i="3"/>
  <c r="G79" i="3"/>
  <c r="G78" i="3"/>
  <c r="G80" i="3"/>
  <c r="C10" i="21"/>
  <c r="E10" i="21" s="1"/>
  <c r="G10" i="21" s="1"/>
  <c r="G87" i="6"/>
  <c r="G74" i="17"/>
  <c r="G67" i="17"/>
  <c r="G66" i="17"/>
  <c r="G64" i="17"/>
  <c r="G63" i="17"/>
  <c r="G65" i="17"/>
  <c r="G69" i="17"/>
  <c r="F72" i="3"/>
  <c r="E87" i="3"/>
  <c r="F85" i="14"/>
  <c r="E87" i="14"/>
  <c r="F87" i="15"/>
  <c r="G85" i="15" s="1"/>
  <c r="F87" i="9"/>
  <c r="C17" i="21"/>
  <c r="E17" i="21" s="1"/>
  <c r="G17" i="21" s="1"/>
  <c r="G85" i="20"/>
  <c r="F87" i="17"/>
  <c r="G85" i="17" s="1"/>
  <c r="G85" i="3"/>
  <c r="C11" i="21"/>
  <c r="E11" i="21" s="1"/>
  <c r="G11" i="21" s="1"/>
  <c r="F14" i="3" l="1"/>
  <c r="G14" i="3" s="1"/>
  <c r="G90" i="3"/>
  <c r="G75" i="12"/>
  <c r="F12" i="12"/>
  <c r="G12" i="12" s="1"/>
  <c r="F14" i="10"/>
  <c r="G14" i="10" s="1"/>
  <c r="G90" i="10"/>
  <c r="G90" i="20"/>
  <c r="F14" i="20"/>
  <c r="G14" i="20" s="1"/>
  <c r="F14" i="12"/>
  <c r="G14" i="12" s="1"/>
  <c r="G90" i="12"/>
  <c r="G75" i="17"/>
  <c r="F12" i="17"/>
  <c r="G12" i="17" s="1"/>
  <c r="D20" i="21"/>
  <c r="F20" i="21" s="1"/>
  <c r="H20" i="21" s="1"/>
  <c r="G90" i="18"/>
  <c r="F14" i="18"/>
  <c r="G14" i="18" s="1"/>
  <c r="F14" i="8"/>
  <c r="G14" i="8" s="1"/>
  <c r="G90" i="8"/>
  <c r="D7" i="21"/>
  <c r="F7" i="21" s="1"/>
  <c r="H7" i="21" s="1"/>
  <c r="G90" i="5"/>
  <c r="F14" i="5"/>
  <c r="G14" i="5" s="1"/>
  <c r="F14" i="7"/>
  <c r="G14" i="7" s="1"/>
  <c r="G90" i="7"/>
  <c r="G87" i="18"/>
  <c r="G87" i="5"/>
  <c r="G87" i="20"/>
  <c r="F87" i="4"/>
  <c r="G85" i="4" s="1"/>
  <c r="D10" i="21"/>
  <c r="F10" i="21" s="1"/>
  <c r="H10" i="21" s="1"/>
  <c r="G87" i="8"/>
  <c r="G87" i="10"/>
  <c r="G87" i="3"/>
  <c r="G89" i="15"/>
  <c r="G82" i="15"/>
  <c r="G81" i="15"/>
  <c r="G79" i="15"/>
  <c r="G78" i="15"/>
  <c r="G80" i="15"/>
  <c r="G84" i="15"/>
  <c r="C14" i="21"/>
  <c r="E14" i="21" s="1"/>
  <c r="G14" i="21" s="1"/>
  <c r="G87" i="12"/>
  <c r="G72" i="17"/>
  <c r="F87" i="14"/>
  <c r="G85" i="14" s="1"/>
  <c r="G89" i="2"/>
  <c r="G82" i="2"/>
  <c r="G79" i="2"/>
  <c r="G81" i="2"/>
  <c r="G78" i="2"/>
  <c r="G80" i="2"/>
  <c r="G84" i="2"/>
  <c r="G87" i="7"/>
  <c r="D21" i="21"/>
  <c r="F21" i="21" s="1"/>
  <c r="H21" i="21" s="1"/>
  <c r="G85" i="2"/>
  <c r="D5" i="21"/>
  <c r="F5" i="21" s="1"/>
  <c r="H5" i="21" s="1"/>
  <c r="D9" i="21"/>
  <c r="F9" i="21" s="1"/>
  <c r="H9" i="21" s="1"/>
  <c r="G89" i="17"/>
  <c r="G82" i="17"/>
  <c r="G79" i="17"/>
  <c r="G81" i="17"/>
  <c r="G78" i="17"/>
  <c r="G80" i="17"/>
  <c r="G84" i="17"/>
  <c r="G89" i="9"/>
  <c r="G82" i="9"/>
  <c r="G79" i="9"/>
  <c r="G81" i="9"/>
  <c r="G80" i="9"/>
  <c r="G78" i="9"/>
  <c r="G84" i="9"/>
  <c r="G74" i="3"/>
  <c r="G67" i="3"/>
  <c r="G66" i="3"/>
  <c r="G64" i="3"/>
  <c r="G63" i="3"/>
  <c r="G65" i="3"/>
  <c r="G69" i="3"/>
  <c r="C19" i="21"/>
  <c r="E19" i="21" s="1"/>
  <c r="G19" i="21" s="1"/>
  <c r="D12" i="21"/>
  <c r="F12" i="21" s="1"/>
  <c r="H12" i="21" s="1"/>
  <c r="G85" i="9"/>
  <c r="G70" i="3"/>
  <c r="G72" i="12"/>
  <c r="D14" i="21"/>
  <c r="F14" i="21" s="1"/>
  <c r="H14" i="21" s="1"/>
  <c r="F12" i="3" l="1"/>
  <c r="G12" i="3" s="1"/>
  <c r="G75" i="3"/>
  <c r="G90" i="17"/>
  <c r="F14" i="17"/>
  <c r="G14" i="17" s="1"/>
  <c r="F14" i="15"/>
  <c r="G14" i="15" s="1"/>
  <c r="G90" i="15"/>
  <c r="G90" i="9"/>
  <c r="F14" i="9"/>
  <c r="G14" i="9" s="1"/>
  <c r="F14" i="2"/>
  <c r="G14" i="2" s="1"/>
  <c r="G90" i="2"/>
  <c r="G81" i="4"/>
  <c r="G84" i="4"/>
  <c r="G78" i="4"/>
  <c r="G79" i="4"/>
  <c r="G80" i="4"/>
  <c r="G89" i="4"/>
  <c r="G82" i="4"/>
  <c r="G87" i="15"/>
  <c r="D4" i="21"/>
  <c r="F4" i="21" s="1"/>
  <c r="D19" i="21"/>
  <c r="F19" i="21" s="1"/>
  <c r="H19" i="21" s="1"/>
  <c r="G89" i="14"/>
  <c r="G82" i="14"/>
  <c r="G81" i="14"/>
  <c r="G79" i="14"/>
  <c r="G78" i="14"/>
  <c r="G80" i="14"/>
  <c r="G84" i="14"/>
  <c r="C5" i="21"/>
  <c r="E5" i="21" s="1"/>
  <c r="E23" i="21" s="1"/>
  <c r="G87" i="2"/>
  <c r="D11" i="21"/>
  <c r="F11" i="21" s="1"/>
  <c r="H11" i="21" s="1"/>
  <c r="G87" i="17"/>
  <c r="G87" i="9"/>
  <c r="D17" i="21"/>
  <c r="F17" i="21" s="1"/>
  <c r="H17" i="21" s="1"/>
  <c r="G72" i="3"/>
  <c r="F14" i="4" l="1"/>
  <c r="G14" i="4" s="1"/>
  <c r="G90" i="4"/>
  <c r="G90" i="14"/>
  <c r="F14" i="14"/>
  <c r="G14" i="14" s="1"/>
  <c r="D6" i="21"/>
  <c r="F6" i="21" s="1"/>
  <c r="H6" i="21" s="1"/>
  <c r="G87" i="4"/>
  <c r="G5" i="21"/>
  <c r="G23" i="21" s="1"/>
  <c r="G25" i="21" s="1"/>
  <c r="D16" i="21"/>
  <c r="F16" i="21" s="1"/>
  <c r="H16" i="21" s="1"/>
  <c r="G87" i="14"/>
  <c r="H4" i="21"/>
  <c r="F23" i="21" l="1"/>
  <c r="H23" i="21"/>
  <c r="H25" i="21" s="1"/>
</calcChain>
</file>

<file path=xl/sharedStrings.xml><?xml version="1.0" encoding="utf-8"?>
<sst xmlns="http://schemas.openxmlformats.org/spreadsheetml/2006/main" count="2099" uniqueCount="181">
  <si>
    <t>PLANILHA ALDEIA DE CUSTOS/PRECIFICAÇÃO DE TRANSPORTE ESCOLAR</t>
  </si>
  <si>
    <t>MUNICÍPIO DE ANTA GORDA/RS</t>
  </si>
  <si>
    <t>Cotação Combustível:</t>
  </si>
  <si>
    <t>Data:</t>
  </si>
  <si>
    <t>Ogliari (Cristal)</t>
  </si>
  <si>
    <t>Barella</t>
  </si>
  <si>
    <t>Italiano</t>
  </si>
  <si>
    <t>Acco</t>
  </si>
  <si>
    <t>Valor médio:</t>
  </si>
  <si>
    <t>Van</t>
  </si>
  <si>
    <t>Gasolina</t>
  </si>
  <si>
    <t>km/l</t>
  </si>
  <si>
    <t>Ônibus</t>
  </si>
  <si>
    <t>Diesel S500</t>
  </si>
  <si>
    <t>Diesel S10</t>
  </si>
  <si>
    <t>Relação Combustível/Manutenção</t>
  </si>
  <si>
    <t>Diesel/Diesel S10</t>
  </si>
  <si>
    <t>LUCRO DA EMPRESA</t>
  </si>
  <si>
    <t>SALÁRIO MOTORISTA VAN/MICRO-ÔNIBUS</t>
  </si>
  <si>
    <t>Taxa de Utilização de Recursos Humanos</t>
  </si>
  <si>
    <t>SALÁRIO MOTORISTA ÔNIBUS</t>
  </si>
  <si>
    <t>1 ou 2 turnos</t>
  </si>
  <si>
    <t>3 turnos até 100 km</t>
  </si>
  <si>
    <r>
      <rPr>
        <sz val="14"/>
        <rFont val="Arial"/>
        <family val="2"/>
        <charset val="1"/>
      </rPr>
      <t xml:space="preserve">3 turnos </t>
    </r>
    <r>
      <rPr>
        <sz val="14"/>
        <rFont val="Calibri"/>
        <family val="2"/>
        <charset val="1"/>
      </rPr>
      <t>≥</t>
    </r>
    <r>
      <rPr>
        <sz val="11.2"/>
        <rFont val="Arial"/>
        <family val="2"/>
        <charset val="1"/>
      </rPr>
      <t xml:space="preserve"> 100 Km</t>
    </r>
  </si>
  <si>
    <t>+ 1% por km acima dos 100 km</t>
  </si>
  <si>
    <t>BENEFICIOS</t>
  </si>
  <si>
    <t>dia</t>
  </si>
  <si>
    <t xml:space="preserve">mês </t>
  </si>
  <si>
    <t>ano</t>
  </si>
  <si>
    <t xml:space="preserve">   Vale-alimentação</t>
  </si>
  <si>
    <t xml:space="preserve">   Plano de saúde</t>
  </si>
  <si>
    <t>(-20% reembolso)</t>
  </si>
  <si>
    <t xml:space="preserve">   Vale-transporte</t>
  </si>
  <si>
    <t xml:space="preserve">   Seguro tripulação</t>
  </si>
  <si>
    <t xml:space="preserve">  Encargos do Veículo</t>
  </si>
  <si>
    <t>mês</t>
  </si>
  <si>
    <t xml:space="preserve">     IPVA</t>
  </si>
  <si>
    <t xml:space="preserve">     DPVAT</t>
  </si>
  <si>
    <t xml:space="preserve">     Licenciamento (CRLV)</t>
  </si>
  <si>
    <t xml:space="preserve">  Vistorias</t>
  </si>
  <si>
    <t>Quantidade</t>
  </si>
  <si>
    <t>Valor</t>
  </si>
  <si>
    <t xml:space="preserve">     Vistoria CTB </t>
  </si>
  <si>
    <t xml:space="preserve">     Vistoria Tacógrafo</t>
  </si>
  <si>
    <t xml:space="preserve">     Inspeção Veicular (INMETRO)</t>
  </si>
  <si>
    <t xml:space="preserve">  Outros Custos</t>
  </si>
  <si>
    <t xml:space="preserve">     Seguro Passageiros (APP)</t>
  </si>
  <si>
    <t xml:space="preserve">     Assessoria Contábil - Honorários</t>
  </si>
  <si>
    <t xml:space="preserve">     Alvará de Licença Municipal</t>
  </si>
  <si>
    <t>Depreciação</t>
  </si>
  <si>
    <t>Data Base</t>
  </si>
  <si>
    <t>Tabela Fipe</t>
  </si>
  <si>
    <t>Kombi Escolar/50 Anos 1.4 Mi Total Flex</t>
  </si>
  <si>
    <t>Ano</t>
  </si>
  <si>
    <t>Preço Médio</t>
  </si>
  <si>
    <t>DEPRECIAÇÃO CONSIDERADA DE 5% AO ANO (VALOR TABELA FIPE DA DATA BASE)</t>
  </si>
  <si>
    <t>NÃO SERÁ PAGA DEPRECIAÇÃO MAIOR DO QUE A ESTIPULADA PARA CADA ITINERÁRIO</t>
  </si>
  <si>
    <t>VEÍCULOS COM AVALIAÇÃO SUPERIOR ÀQUELA DA PLANILHA RECEBERÃO A DEPRECIAÇÃO</t>
  </si>
  <si>
    <t>MÁXIMA ESTIMADA PARA O ITINERÁRIO</t>
  </si>
  <si>
    <t>CONSIDERAR MAIS 0,2% DA DEPRECIAÇÃO ANUAL A CADA KM PERCORRIDO POR DIA</t>
  </si>
  <si>
    <t>LEVANDO EM CONTA QUE MAIOR UTILIZAÇÃO DO VEÍCULO GERA MAIOR DEPRECIAÇÃO</t>
  </si>
  <si>
    <t>VEÍCULOS COM MAIS DE 20 ANOS NÃO RECEBEM REMUNERAÇÃO POR DEPRECIAÇÃO</t>
  </si>
  <si>
    <t>Kombi Escolar 1.6 Mpi</t>
  </si>
  <si>
    <t>EM CASO DE UTILIZAÇÃO DE OUTROS VEÍCULOS QUE NÃO CONSTAM NESTA TABELA</t>
  </si>
  <si>
    <t>SERÁ FEITA AVALIAÇÃO INDIVIDUAL COM A MESMA DATA BASE</t>
  </si>
  <si>
    <t>CADA ITINERÁRIO DEVERÁ SER PREENCHIDO COM O VALOR DE AVALIAÇÃO</t>
  </si>
  <si>
    <t>EM CASO DE SUBSTITUIÇÃO DO VEÍCULO DURANTE O PERÍODO DO CONTRATO</t>
  </si>
  <si>
    <t>SERÁ FEITA REAVALIAÇÃO DO ITINERÁRIO COM A MESMA DATA BASE</t>
  </si>
  <si>
    <t>Fiat Ducato Minibus 2.3 ME Diesel</t>
  </si>
  <si>
    <t>EM CASO DE UTILIZAÇÃO DE COMBUSTÍVEL DIFERENTE QUANDO DA SUBSTITUIÇÃO DO VEÍCULO</t>
  </si>
  <si>
    <t>PARA OS CASOS DE RENOVAÇÃO CONTRATUAL E/OU NO INÍCIO DE CADA ANO LETIVO</t>
  </si>
  <si>
    <t>A PLANILHA PODERÁ SER REVISADA DE ACORDO COM A NECESSIDADE DE SUBSTITUIÇÃO DO VEÍCULO</t>
  </si>
  <si>
    <t>OPORTUNIDADE EM QUE A ADMINISTRAÇÃO REALIZARÁ ESTUDO E CÁLCULO DO NOVO CUSTO</t>
  </si>
  <si>
    <t>NO INÍCIO DE CADA ANO LETIVO A ADMINISTRAÇÃO ATUALIZARÁ OS VALORES DOS VEÍCULOS</t>
  </si>
  <si>
    <t>E OS VALORES MÁXIMOS DE DEPRECIAÇÃO POR ITINERÁRIO</t>
  </si>
  <si>
    <t>Fiat Ducato Combinato 2.3 ME Diesel</t>
  </si>
  <si>
    <t>REALIZADA PELO SINDICATO DOS PROPRIETÁRIOS DE VEÍCULOS ESCOLARES DO ESTADO DO RS</t>
  </si>
  <si>
    <t>Renault Master 2.5 dCi Escolar 115cv 16/19L</t>
  </si>
  <si>
    <t>EMPRESAS COM TRIBUTAÇÃO DISTINTA DO SIMPLES NACIONAL DEVERÃO APRESENTAR O CÁLCULO</t>
  </si>
  <si>
    <t>DE TRIBUTAÇÃO PARA AVALIAÇÃO DA ADMINISTRAÇÃO</t>
  </si>
  <si>
    <t>Neobus T.Boy/Esc.</t>
  </si>
  <si>
    <t>Marcopolo Volare Escolar A8/V8</t>
  </si>
  <si>
    <t>Marcopolo Volare Lotação Escolar W9</t>
  </si>
  <si>
    <t>Marcopolo Volare W8 Executivo</t>
  </si>
  <si>
    <t>ITINERÁRIO:</t>
  </si>
  <si>
    <t>Alunos:</t>
  </si>
  <si>
    <t>Manhã</t>
  </si>
  <si>
    <t>Turnos</t>
  </si>
  <si>
    <t>Tarde</t>
  </si>
  <si>
    <t>Noite</t>
  </si>
  <si>
    <t>Veículo:</t>
  </si>
  <si>
    <t>Nº Dias Letivos Ano</t>
  </si>
  <si>
    <t>Nº Meses com Transporte</t>
  </si>
  <si>
    <t>EMPREGADO    CLT</t>
  </si>
  <si>
    <t>Média Dias Letivos/Mês</t>
  </si>
  <si>
    <t>Percurso Diário - Km</t>
  </si>
  <si>
    <t>PROPRIETÁRIO OU SÓCIO</t>
  </si>
  <si>
    <t>Percurso Mensal - Km</t>
  </si>
  <si>
    <t>Valor Mensal</t>
  </si>
  <si>
    <t xml:space="preserve">Recursos Humanos + Encargos </t>
  </si>
  <si>
    <t>Proprietário</t>
  </si>
  <si>
    <t>Empregado</t>
  </si>
  <si>
    <t xml:space="preserve">     Salário Motorista</t>
  </si>
  <si>
    <t xml:space="preserve">     INSS</t>
  </si>
  <si>
    <t xml:space="preserve">     FGTS</t>
  </si>
  <si>
    <t xml:space="preserve">     Provisão de Férias</t>
  </si>
  <si>
    <t xml:space="preserve">     Adicional Férias</t>
  </si>
  <si>
    <t xml:space="preserve">     Benefícios</t>
  </si>
  <si>
    <t xml:space="preserve">     13º Salário</t>
  </si>
  <si>
    <t>Taxa Total</t>
  </si>
  <si>
    <t>Se 3 turnos e mais de 100 km 1% a mais por km</t>
  </si>
  <si>
    <t>CUSTOS FIXOS</t>
  </si>
  <si>
    <t>ANUAL</t>
  </si>
  <si>
    <t>MENSAL</t>
  </si>
  <si>
    <t xml:space="preserve">     Licenciamento</t>
  </si>
  <si>
    <t xml:space="preserve">     Material de expediente</t>
  </si>
  <si>
    <t>TOTAL</t>
  </si>
  <si>
    <t>coeficiente km diária</t>
  </si>
  <si>
    <t>Depreciação do Veículo</t>
  </si>
  <si>
    <t>Total Depreciação</t>
  </si>
  <si>
    <t>Combustível/Manutenção</t>
  </si>
  <si>
    <t>Tipo de Combustível</t>
  </si>
  <si>
    <t>Km/Dia</t>
  </si>
  <si>
    <t>Consumo (Km/Litro)</t>
  </si>
  <si>
    <t>Valor/Litro</t>
  </si>
  <si>
    <t>Custo</t>
  </si>
  <si>
    <t>Diário</t>
  </si>
  <si>
    <t>Mensal</t>
  </si>
  <si>
    <t>Data cotação:</t>
  </si>
  <si>
    <t>Diesel</t>
  </si>
  <si>
    <t>Relatório Sintético dos Custos</t>
  </si>
  <si>
    <t>Motorista empregado CLT</t>
  </si>
  <si>
    <t>Valor Anual</t>
  </si>
  <si>
    <t>Composição %</t>
  </si>
  <si>
    <t>Combustível</t>
  </si>
  <si>
    <t>Custo Fixo</t>
  </si>
  <si>
    <t>Manutenção (Pneus, Freios, Óleos, Elétrica, Lavagem/Lubrificação)</t>
  </si>
  <si>
    <t>Recursos Humanos</t>
  </si>
  <si>
    <t>Sub-Totais</t>
  </si>
  <si>
    <t>Lucro</t>
  </si>
  <si>
    <t>Tributação Simples</t>
  </si>
  <si>
    <t>Totais</t>
  </si>
  <si>
    <t>Valor por Km:</t>
  </si>
  <si>
    <t>Motorista proprietário ou sócio</t>
  </si>
  <si>
    <t>Recursos Humanos + Encargos</t>
  </si>
  <si>
    <t>anual</t>
  </si>
  <si>
    <t>ITINERÁRIO</t>
  </si>
  <si>
    <t>KM</t>
  </si>
  <si>
    <t>VALOR POR KM</t>
  </si>
  <si>
    <t>VALOR TOTAL / DIA</t>
  </si>
  <si>
    <t>VALOR TOTAL / MÊS</t>
  </si>
  <si>
    <t>EMPREGADO</t>
  </si>
  <si>
    <t>PROPRIETÁRIO</t>
  </si>
  <si>
    <t>Km</t>
  </si>
  <si>
    <t>ESTIMATIVA ANUAL</t>
  </si>
  <si>
    <t>Valor por dia</t>
  </si>
  <si>
    <t>Valor por dia (R$)</t>
  </si>
  <si>
    <t>Valor R$/KM</t>
  </si>
  <si>
    <t>PARÂMETROS 2026</t>
  </si>
  <si>
    <t>Convenção Coletiva 2025/2026 Registrado no MTE RS004490/2025</t>
  </si>
  <si>
    <t>Vigência jun/2025 a mai/2026</t>
  </si>
  <si>
    <t>(-5,07% reembolso)</t>
  </si>
  <si>
    <t>Marcopolo Volare Escolar Lotação W9 DW9 Fly</t>
  </si>
  <si>
    <t>CORRESPONDENTE AO VEÍCULO A SER UTILIZADO EFETIVAMENTE</t>
  </si>
  <si>
    <t>O SALÁRIO DO MOTORISTA E BENEFÍCIOS SÃO OS PACTUADOS NA ÚLTIMA CONVEÇÃO COLETIVA DE TRABALHO</t>
  </si>
  <si>
    <t>O LUCRO MÁXIMO ACEITÁVEL É DE 20% SOBRE O CUSTO DO SERVIÇO</t>
  </si>
  <si>
    <t>AS REPACTUAÇÕES E REEQUILÍBRIOS SERÃO FEITAS COM BASE NO COMBUSTÍVEL EFETIVAMENTE UTILIZADO</t>
  </si>
  <si>
    <t>% Lucro</t>
  </si>
  <si>
    <t>Valores máximos aceitáveis</t>
  </si>
  <si>
    <t>Ano mínimo</t>
  </si>
  <si>
    <t>CONSUMO (PARÂMETRO PADRÃO)</t>
  </si>
  <si>
    <t xml:space="preserve">     Material de Expediente/Certificados Digitais</t>
  </si>
  <si>
    <t>Usar Valores de referência da planilha parâmetros, de acordo com o combustível a ser utilizado</t>
  </si>
  <si>
    <t>xxxxxx</t>
  </si>
  <si>
    <t>Avaliação Máxima/FIPE</t>
  </si>
  <si>
    <t>Capacidade mín. Lugares</t>
  </si>
  <si>
    <t>Motorista</t>
  </si>
  <si>
    <t>Valores Máximos Aceitáveis</t>
  </si>
  <si>
    <t>Há intercalação de alunos sendo possível realizar o trajeto com 32 lugares</t>
  </si>
  <si>
    <t>FRANCISCO DAVID FRIGHETTO</t>
  </si>
  <si>
    <t>Prefeito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</si>
</sst>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&quot;R$ &quot;* #,##0.00_);_(&quot;R$ &quot;* \(#,##0.00\);_(&quot;R$ &quot;* \-??_);_(@_)"/>
    <numFmt numFmtId="165" formatCode="_(* #,##0.00_);_(* \(#,##0.00\);_(* \-??_);_(@_)"/>
    <numFmt numFmtId="166" formatCode="d/m/yyyy"/>
    <numFmt numFmtId="167" formatCode="#,##0.000"/>
    <numFmt numFmtId="168" formatCode="_-&quot;R$ &quot;* #,##0.00_-;&quot;-R$ &quot;* #,##0.00_-;_-&quot;R$ &quot;* \-??_-;_-@_-"/>
    <numFmt numFmtId="169" formatCode="_-* #,##0.00_-;\-* #,##0.00_-;_-* \-??_-;_-@_-"/>
    <numFmt numFmtId="170" formatCode="mmmm/yyyy"/>
    <numFmt numFmtId="171" formatCode="0&quot; Turnos&quot;"/>
    <numFmt numFmtId="172" formatCode="0.000%"/>
    <numFmt numFmtId="173" formatCode="&quot;R$ &quot;#,##0.00;&quot;-R$ &quot;#,##0.00"/>
    <numFmt numFmtId="174" formatCode="&quot;R$ &quot;#,##0.00"/>
    <numFmt numFmtId="175" formatCode="[h]:mm:ss;@"/>
    <numFmt numFmtId="176" formatCode="h:mm;@"/>
    <numFmt numFmtId="177" formatCode="_-* #,##0.00000_-;\-* #,##0.00000_-;_-* \-??_-;_-@_-"/>
    <numFmt numFmtId="178" formatCode="dd/m/yyyy"/>
    <numFmt numFmtId="179" formatCode="0.00000%"/>
    <numFmt numFmtId="180" formatCode="00"/>
  </numFmts>
  <fonts count="36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4"/>
      <color rgb="FF000000"/>
      <name val="Arial"/>
      <family val="2"/>
      <charset val="1"/>
    </font>
    <font>
      <b/>
      <sz val="36"/>
      <name val="Calibri"/>
      <family val="2"/>
      <charset val="1"/>
    </font>
    <font>
      <b/>
      <sz val="14"/>
      <name val="Calibri"/>
      <family val="2"/>
      <charset val="1"/>
    </font>
    <font>
      <b/>
      <i/>
      <sz val="14"/>
      <name val="Arial"/>
      <family val="2"/>
      <charset val="1"/>
    </font>
    <font>
      <i/>
      <sz val="14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4"/>
      <name val="Calibri"/>
      <family val="2"/>
      <charset val="1"/>
    </font>
    <font>
      <sz val="11.2"/>
      <name val="Arial"/>
      <family val="2"/>
      <charset val="1"/>
    </font>
    <font>
      <i/>
      <u/>
      <sz val="14"/>
      <name val="Arial"/>
      <family val="2"/>
      <charset val="1"/>
    </font>
    <font>
      <b/>
      <sz val="36"/>
      <color rgb="FF000000"/>
      <name val="Arial"/>
      <family val="2"/>
      <charset val="1"/>
    </font>
    <font>
      <b/>
      <u/>
      <sz val="14"/>
      <name val="Arial"/>
      <family val="2"/>
      <charset val="1"/>
    </font>
    <font>
      <b/>
      <u/>
      <sz val="14"/>
      <color rgb="FF000000"/>
      <name val="Arial"/>
      <family val="2"/>
      <charset val="1"/>
    </font>
    <font>
      <b/>
      <sz val="28"/>
      <color rgb="FFFF0000"/>
      <name val="Arial"/>
      <family val="2"/>
      <charset val="1"/>
    </font>
    <font>
      <b/>
      <sz val="14"/>
      <color rgb="FFFF0000"/>
      <name val="Arial"/>
      <family val="2"/>
      <charset val="1"/>
    </font>
    <font>
      <sz val="10"/>
      <color rgb="FFA6A6A6"/>
      <name val="Arial"/>
      <family val="2"/>
      <charset val="1"/>
    </font>
    <font>
      <b/>
      <sz val="18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0000"/>
      <name val="Arial"/>
      <family val="2"/>
      <charset val="1"/>
    </font>
    <font>
      <b/>
      <sz val="14"/>
      <name val="Arial"/>
      <family val="2"/>
    </font>
    <font>
      <b/>
      <sz val="11"/>
      <color rgb="FF000000"/>
      <name val="Calibri"/>
      <family val="2"/>
      <charset val="1"/>
    </font>
    <font>
      <i/>
      <u/>
      <sz val="14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9"/>
      <name val="Arial"/>
      <family val="2"/>
      <charset val="1"/>
    </font>
    <font>
      <b/>
      <sz val="11"/>
      <name val="Arial"/>
      <family val="2"/>
      <charset val="1"/>
    </font>
    <font>
      <u/>
      <sz val="14"/>
      <name val="Arial"/>
      <family val="2"/>
    </font>
    <font>
      <sz val="14"/>
      <name val="Arial"/>
      <family val="2"/>
    </font>
    <font>
      <b/>
      <sz val="18"/>
      <color rgb="FF000000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EBF1DE"/>
        <bgColor rgb="FFDBEEF4"/>
      </patternFill>
    </fill>
    <fill>
      <patternFill patternType="solid">
        <fgColor rgb="FFF2DCDB"/>
        <bgColor rgb="FFD9D9D9"/>
      </patternFill>
    </fill>
    <fill>
      <patternFill patternType="solid">
        <fgColor rgb="FFDDD9C3"/>
        <bgColor rgb="FFD9D9D9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DD9C3"/>
      </patternFill>
    </fill>
    <fill>
      <patternFill patternType="solid">
        <fgColor rgb="FFDBEEF4"/>
        <bgColor rgb="FFEBF1DE"/>
      </patternFill>
    </fill>
    <fill>
      <patternFill patternType="solid">
        <fgColor rgb="FFFCD5B5"/>
        <bgColor rgb="FFF2DCDB"/>
      </patternFill>
    </fill>
    <fill>
      <patternFill patternType="solid">
        <fgColor rgb="FFC3D69B"/>
        <bgColor rgb="FFDDD9C3"/>
      </patternFill>
    </fill>
    <fill>
      <patternFill patternType="solid">
        <fgColor rgb="FFFFFF99"/>
        <bgColor rgb="FFEBF1DE"/>
      </patternFill>
    </fill>
    <fill>
      <patternFill patternType="solid">
        <fgColor rgb="FFFF0000"/>
        <bgColor rgb="FFD9D9D9"/>
      </patternFill>
    </fill>
    <fill>
      <patternFill patternType="solid">
        <fgColor rgb="FFFF0000"/>
        <bgColor rgb="FFF2DCDB"/>
      </patternFill>
    </fill>
    <fill>
      <patternFill patternType="solid">
        <fgColor rgb="FFFF0000"/>
        <bgColor rgb="FFDDD9C3"/>
      </patternFill>
    </fill>
    <fill>
      <patternFill patternType="solid">
        <fgColor rgb="FFFF0000"/>
        <bgColor rgb="FFEBF1D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D9D9D9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8" fontId="24" fillId="0" borderId="0" applyBorder="0" applyProtection="0"/>
    <xf numFmtId="9" fontId="24" fillId="0" borderId="0" applyBorder="0" applyProtection="0"/>
    <xf numFmtId="164" fontId="24" fillId="0" borderId="0" applyBorder="0" applyProtection="0"/>
    <xf numFmtId="165" fontId="24" fillId="0" borderId="0" applyBorder="0" applyProtection="0"/>
  </cellStyleXfs>
  <cellXfs count="38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4" fillId="0" borderId="0" xfId="0" applyFont="1"/>
    <xf numFmtId="0" fontId="1" fillId="2" borderId="0" xfId="0" applyFont="1" applyFill="1"/>
    <xf numFmtId="0" fontId="5" fillId="3" borderId="1" xfId="0" applyFont="1" applyFill="1" applyBorder="1"/>
    <xf numFmtId="0" fontId="6" fillId="3" borderId="2" xfId="0" applyFont="1" applyFill="1" applyBorder="1"/>
    <xf numFmtId="165" fontId="6" fillId="3" borderId="2" xfId="4" applyFont="1" applyFill="1" applyBorder="1" applyAlignment="1" applyProtection="1"/>
    <xf numFmtId="0" fontId="6" fillId="3" borderId="3" xfId="0" applyFont="1" applyFill="1" applyBorder="1" applyAlignment="1">
      <alignment horizontal="right"/>
    </xf>
    <xf numFmtId="0" fontId="7" fillId="0" borderId="0" xfId="0" applyFont="1"/>
    <xf numFmtId="0" fontId="6" fillId="3" borderId="6" xfId="0" applyFont="1" applyFill="1" applyBorder="1"/>
    <xf numFmtId="0" fontId="6" fillId="3" borderId="0" xfId="0" applyFont="1" applyFill="1"/>
    <xf numFmtId="165" fontId="6" fillId="3" borderId="0" xfId="4" applyFont="1" applyFill="1" applyBorder="1" applyAlignment="1" applyProtection="1"/>
    <xf numFmtId="167" fontId="6" fillId="3" borderId="0" xfId="0" applyNumberFormat="1" applyFont="1" applyFill="1"/>
    <xf numFmtId="167" fontId="6" fillId="3" borderId="0" xfId="4" applyNumberFormat="1" applyFont="1" applyFill="1" applyBorder="1" applyAlignment="1" applyProtection="1"/>
    <xf numFmtId="0" fontId="7" fillId="3" borderId="6" xfId="0" applyFont="1" applyFill="1" applyBorder="1"/>
    <xf numFmtId="0" fontId="7" fillId="3" borderId="8" xfId="0" applyFont="1" applyFill="1" applyBorder="1"/>
    <xf numFmtId="0" fontId="7" fillId="3" borderId="0" xfId="0" applyFont="1" applyFill="1"/>
    <xf numFmtId="0" fontId="7" fillId="3" borderId="10" xfId="0" applyFont="1" applyFill="1" applyBorder="1"/>
    <xf numFmtId="0" fontId="7" fillId="3" borderId="11" xfId="0" applyFont="1" applyFill="1" applyBorder="1"/>
    <xf numFmtId="0" fontId="6" fillId="3" borderId="10" xfId="0" applyFont="1" applyFill="1" applyBorder="1"/>
    <xf numFmtId="0" fontId="6" fillId="3" borderId="12" xfId="0" applyFont="1" applyFill="1" applyBorder="1"/>
    <xf numFmtId="167" fontId="6" fillId="3" borderId="11" xfId="0" applyNumberFormat="1" applyFont="1" applyFill="1" applyBorder="1"/>
    <xf numFmtId="4" fontId="5" fillId="0" borderId="0" xfId="0" applyNumberFormat="1" applyFont="1" applyAlignment="1">
      <alignment horizontal="center"/>
    </xf>
    <xf numFmtId="9" fontId="7" fillId="3" borderId="2" xfId="0" applyNumberFormat="1" applyFont="1" applyFill="1" applyBorder="1" applyAlignment="1" applyProtection="1">
      <alignment horizontal="center"/>
      <protection locked="0"/>
    </xf>
    <xf numFmtId="167" fontId="6" fillId="3" borderId="2" xfId="0" applyNumberFormat="1" applyFont="1" applyFill="1" applyBorder="1"/>
    <xf numFmtId="4" fontId="5" fillId="3" borderId="13" xfId="0" applyNumberFormat="1" applyFont="1" applyFill="1" applyBorder="1" applyAlignment="1">
      <alignment horizontal="center"/>
    </xf>
    <xf numFmtId="0" fontId="7" fillId="3" borderId="12" xfId="0" applyFont="1" applyFill="1" applyBorder="1"/>
    <xf numFmtId="9" fontId="7" fillId="3" borderId="12" xfId="0" applyNumberFormat="1" applyFont="1" applyFill="1" applyBorder="1" applyAlignment="1">
      <alignment horizontal="center"/>
    </xf>
    <xf numFmtId="0" fontId="8" fillId="2" borderId="14" xfId="0" applyFont="1" applyFill="1" applyBorder="1"/>
    <xf numFmtId="0" fontId="7" fillId="2" borderId="15" xfId="0" applyFont="1" applyFill="1" applyBorder="1"/>
    <xf numFmtId="9" fontId="7" fillId="2" borderId="16" xfId="0" applyNumberFormat="1" applyFont="1" applyFill="1" applyBorder="1" applyAlignment="1">
      <alignment horizontal="center"/>
    </xf>
    <xf numFmtId="168" fontId="7" fillId="3" borderId="2" xfId="1" applyFont="1" applyFill="1" applyBorder="1" applyAlignment="1" applyProtection="1">
      <protection locked="0"/>
    </xf>
    <xf numFmtId="0" fontId="7" fillId="3" borderId="2" xfId="0" applyFont="1" applyFill="1" applyBorder="1"/>
    <xf numFmtId="0" fontId="8" fillId="3" borderId="3" xfId="0" applyFont="1" applyFill="1" applyBorder="1"/>
    <xf numFmtId="0" fontId="7" fillId="3" borderId="17" xfId="0" applyFont="1" applyFill="1" applyBorder="1"/>
    <xf numFmtId="0" fontId="7" fillId="3" borderId="4" xfId="0" applyFont="1" applyFill="1" applyBorder="1"/>
    <xf numFmtId="0" fontId="10" fillId="3" borderId="10" xfId="0" applyFont="1" applyFill="1" applyBorder="1"/>
    <xf numFmtId="0" fontId="9" fillId="3" borderId="12" xfId="0" applyFont="1" applyFill="1" applyBorder="1"/>
    <xf numFmtId="168" fontId="7" fillId="3" borderId="12" xfId="1" applyFont="1" applyFill="1" applyBorder="1" applyAlignment="1" applyProtection="1"/>
    <xf numFmtId="0" fontId="7" fillId="3" borderId="18" xfId="0" applyFont="1" applyFill="1" applyBorder="1"/>
    <xf numFmtId="0" fontId="8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13" xfId="0" applyFont="1" applyFill="1" applyBorder="1"/>
    <xf numFmtId="0" fontId="7" fillId="2" borderId="6" xfId="0" applyFont="1" applyFill="1" applyBorder="1"/>
    <xf numFmtId="4" fontId="7" fillId="2" borderId="0" xfId="0" applyNumberFormat="1" applyFont="1" applyFill="1"/>
    <xf numFmtId="0" fontId="7" fillId="2" borderId="0" xfId="0" applyFont="1" applyFill="1"/>
    <xf numFmtId="4" fontId="7" fillId="2" borderId="8" xfId="0" applyNumberFormat="1" applyFont="1" applyFill="1" applyBorder="1"/>
    <xf numFmtId="0" fontId="7" fillId="2" borderId="10" xfId="0" applyFont="1" applyFill="1" applyBorder="1"/>
    <xf numFmtId="0" fontId="7" fillId="2" borderId="12" xfId="0" applyFont="1" applyFill="1" applyBorder="1"/>
    <xf numFmtId="4" fontId="7" fillId="2" borderId="11" xfId="0" applyNumberFormat="1" applyFont="1" applyFill="1" applyBorder="1"/>
    <xf numFmtId="165" fontId="7" fillId="2" borderId="2" xfId="4" applyFont="1" applyFill="1" applyBorder="1" applyAlignment="1" applyProtection="1"/>
    <xf numFmtId="0" fontId="8" fillId="2" borderId="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4" fontId="7" fillId="2" borderId="0" xfId="4" applyNumberFormat="1" applyFont="1" applyFill="1" applyBorder="1" applyAlignment="1" applyProtection="1"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7" fillId="2" borderId="0" xfId="4" applyFont="1" applyFill="1" applyBorder="1" applyAlignment="1" applyProtection="1">
      <protection locked="0"/>
    </xf>
    <xf numFmtId="169" fontId="7" fillId="2" borderId="8" xfId="0" applyNumberFormat="1" applyFont="1" applyFill="1" applyBorder="1"/>
    <xf numFmtId="0" fontId="7" fillId="2" borderId="6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4" fontId="7" fillId="2" borderId="0" xfId="0" applyNumberFormat="1" applyFont="1" applyFill="1" applyProtection="1">
      <protection locked="0"/>
    </xf>
    <xf numFmtId="169" fontId="7" fillId="0" borderId="0" xfId="0" applyNumberFormat="1" applyFont="1"/>
    <xf numFmtId="0" fontId="8" fillId="2" borderId="0" xfId="0" applyFont="1" applyFill="1" applyAlignment="1" applyProtection="1">
      <alignment horizontal="left"/>
      <protection locked="0"/>
    </xf>
    <xf numFmtId="10" fontId="7" fillId="0" borderId="0" xfId="0" applyNumberFormat="1" applyFont="1"/>
    <xf numFmtId="0" fontId="7" fillId="2" borderId="12" xfId="0" applyFont="1" applyFill="1" applyBorder="1" applyAlignment="1" applyProtection="1">
      <alignment horizontal="left"/>
      <protection locked="0"/>
    </xf>
    <xf numFmtId="165" fontId="7" fillId="2" borderId="12" xfId="4" applyFont="1" applyFill="1" applyBorder="1" applyAlignment="1" applyProtection="1">
      <protection locked="0"/>
    </xf>
    <xf numFmtId="169" fontId="7" fillId="2" borderId="11" xfId="0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170" fontId="7" fillId="0" borderId="0" xfId="0" applyNumberFormat="1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8" fontId="7" fillId="0" borderId="0" xfId="1" applyFont="1" applyBorder="1" applyAlignment="1" applyProtection="1"/>
    <xf numFmtId="168" fontId="7" fillId="0" borderId="0" xfId="0" applyNumberFormat="1" applyFont="1" applyAlignment="1">
      <alignment horizontal="center"/>
    </xf>
    <xf numFmtId="168" fontId="7" fillId="0" borderId="0" xfId="0" applyNumberFormat="1" applyFont="1"/>
    <xf numFmtId="168" fontId="7" fillId="0" borderId="0" xfId="1" applyFont="1" applyBorder="1" applyAlignment="1" applyProtection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right"/>
    </xf>
    <xf numFmtId="0" fontId="16" fillId="4" borderId="4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8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7" fillId="4" borderId="12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center"/>
    </xf>
    <xf numFmtId="165" fontId="2" fillId="0" borderId="0" xfId="4" applyFont="1" applyBorder="1" applyAlignment="1" applyProtection="1">
      <protection locked="0"/>
    </xf>
    <xf numFmtId="165" fontId="7" fillId="0" borderId="0" xfId="4" applyFont="1" applyBorder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4" borderId="13" xfId="4" applyNumberFormat="1" applyFont="1" applyFill="1" applyBorder="1" applyAlignment="1" applyProtection="1">
      <alignment vertical="center"/>
    </xf>
    <xf numFmtId="165" fontId="2" fillId="0" borderId="0" xfId="4" applyFont="1" applyBorder="1" applyAlignment="1" applyProtection="1">
      <alignment vertical="center"/>
      <protection locked="0"/>
    </xf>
    <xf numFmtId="0" fontId="7" fillId="4" borderId="8" xfId="4" applyNumberFormat="1" applyFont="1" applyFill="1" applyBorder="1" applyAlignment="1" applyProtection="1">
      <alignment vertical="center"/>
    </xf>
    <xf numFmtId="169" fontId="0" fillId="0" borderId="0" xfId="0" applyNumberFormat="1"/>
    <xf numFmtId="0" fontId="7" fillId="4" borderId="8" xfId="4" applyNumberFormat="1" applyFont="1" applyFill="1" applyBorder="1" applyAlignment="1" applyProtection="1">
      <alignment vertical="center"/>
      <protection locked="0"/>
    </xf>
    <xf numFmtId="3" fontId="7" fillId="4" borderId="11" xfId="4" applyNumberFormat="1" applyFont="1" applyFill="1" applyBorder="1" applyAlignment="1" applyProtection="1">
      <alignment vertical="center"/>
    </xf>
    <xf numFmtId="0" fontId="1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18" fillId="2" borderId="1" xfId="0" applyFont="1" applyFill="1" applyBorder="1"/>
    <xf numFmtId="0" fontId="0" fillId="2" borderId="2" xfId="0" applyFill="1" applyBorder="1"/>
    <xf numFmtId="165" fontId="2" fillId="2" borderId="2" xfId="4" applyFont="1" applyFill="1" applyBorder="1" applyAlignment="1" applyProtection="1"/>
    <xf numFmtId="0" fontId="2" fillId="2" borderId="2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0" xfId="0" applyFont="1" applyFill="1"/>
    <xf numFmtId="0" fontId="7" fillId="2" borderId="0" xfId="0" applyFont="1" applyFill="1" applyAlignment="1">
      <alignment horizontal="right"/>
    </xf>
    <xf numFmtId="0" fontId="2" fillId="2" borderId="8" xfId="0" applyFont="1" applyFill="1" applyBorder="1" applyAlignment="1">
      <alignment horizontal="right"/>
    </xf>
    <xf numFmtId="165" fontId="7" fillId="2" borderId="0" xfId="0" applyNumberFormat="1" applyFont="1" applyFill="1"/>
    <xf numFmtId="165" fontId="7" fillId="2" borderId="8" xfId="4" applyFont="1" applyFill="1" applyBorder="1" applyAlignment="1" applyProtection="1"/>
    <xf numFmtId="9" fontId="7" fillId="2" borderId="0" xfId="0" applyNumberFormat="1" applyFont="1" applyFill="1" applyAlignment="1">
      <alignment horizontal="center"/>
    </xf>
    <xf numFmtId="12" fontId="7" fillId="2" borderId="0" xfId="0" applyNumberFormat="1" applyFont="1" applyFill="1" applyAlignment="1">
      <alignment horizontal="center"/>
    </xf>
    <xf numFmtId="165" fontId="7" fillId="2" borderId="0" xfId="4" applyFont="1" applyFill="1" applyBorder="1" applyAlignment="1" applyProtection="1">
      <alignment horizontal="right"/>
    </xf>
    <xf numFmtId="169" fontId="7" fillId="2" borderId="0" xfId="0" applyNumberFormat="1" applyFont="1" applyFill="1"/>
    <xf numFmtId="165" fontId="7" fillId="2" borderId="0" xfId="4" applyFont="1" applyFill="1" applyBorder="1" applyAlignment="1" applyProtection="1"/>
    <xf numFmtId="171" fontId="2" fillId="2" borderId="0" xfId="0" applyNumberFormat="1" applyFont="1" applyFill="1" applyAlignment="1">
      <alignment horizontal="center"/>
    </xf>
    <xf numFmtId="9" fontId="2" fillId="2" borderId="0" xfId="2" applyFont="1" applyFill="1" applyBorder="1" applyAlignment="1" applyProtection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8" xfId="0" applyFill="1" applyBorder="1"/>
    <xf numFmtId="0" fontId="7" fillId="2" borderId="0" xfId="0" applyFont="1" applyFill="1" applyAlignment="1">
      <alignment horizontal="left"/>
    </xf>
    <xf numFmtId="10" fontId="19" fillId="2" borderId="0" xfId="2" applyNumberFormat="1" applyFont="1" applyFill="1" applyBorder="1" applyAlignment="1" applyProtection="1">
      <alignment horizontal="center"/>
    </xf>
    <xf numFmtId="10" fontId="7" fillId="2" borderId="9" xfId="2" applyNumberFormat="1" applyFont="1" applyFill="1" applyBorder="1" applyAlignment="1" applyProtection="1">
      <alignment horizontal="center"/>
    </xf>
    <xf numFmtId="165" fontId="8" fillId="2" borderId="0" xfId="4" applyFont="1" applyFill="1" applyBorder="1" applyAlignment="1" applyProtection="1"/>
    <xf numFmtId="165" fontId="8" fillId="2" borderId="8" xfId="4" applyFont="1" applyFill="1" applyBorder="1" applyAlignment="1" applyProtection="1"/>
    <xf numFmtId="0" fontId="8" fillId="7" borderId="1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165" fontId="7" fillId="7" borderId="2" xfId="4" applyFont="1" applyFill="1" applyBorder="1" applyAlignment="1" applyProtection="1"/>
    <xf numFmtId="165" fontId="7" fillId="7" borderId="0" xfId="4" applyFont="1" applyFill="1" applyBorder="1" applyAlignment="1" applyProtection="1"/>
    <xf numFmtId="0" fontId="8" fillId="7" borderId="2" xfId="0" applyFont="1" applyFill="1" applyBorder="1" applyAlignment="1">
      <alignment horizontal="right"/>
    </xf>
    <xf numFmtId="0" fontId="8" fillId="7" borderId="13" xfId="0" applyFont="1" applyFill="1" applyBorder="1" applyAlignment="1">
      <alignment horizontal="right"/>
    </xf>
    <xf numFmtId="0" fontId="8" fillId="7" borderId="6" xfId="0" applyFont="1" applyFill="1" applyBorder="1"/>
    <xf numFmtId="0" fontId="7" fillId="7" borderId="0" xfId="0" applyFont="1" applyFill="1"/>
    <xf numFmtId="0" fontId="7" fillId="7" borderId="8" xfId="0" applyFont="1" applyFill="1" applyBorder="1"/>
    <xf numFmtId="0" fontId="7" fillId="7" borderId="6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165" fontId="7" fillId="7" borderId="8" xfId="4" applyFont="1" applyFill="1" applyBorder="1" applyAlignment="1" applyProtection="1"/>
    <xf numFmtId="0" fontId="8" fillId="7" borderId="6" xfId="0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right"/>
    </xf>
    <xf numFmtId="0" fontId="7" fillId="7" borderId="0" xfId="0" applyFont="1" applyFill="1" applyAlignment="1">
      <alignment horizontal="center"/>
    </xf>
    <xf numFmtId="0" fontId="7" fillId="7" borderId="6" xfId="0" applyFont="1" applyFill="1" applyBorder="1"/>
    <xf numFmtId="4" fontId="7" fillId="7" borderId="0" xfId="0" applyNumberFormat="1" applyFont="1" applyFill="1"/>
    <xf numFmtId="4" fontId="7" fillId="0" borderId="0" xfId="0" applyNumberFormat="1" applyFont="1" applyProtection="1">
      <protection locked="0"/>
    </xf>
    <xf numFmtId="0" fontId="8" fillId="7" borderId="0" xfId="0" applyFont="1" applyFill="1" applyAlignment="1">
      <alignment horizontal="left"/>
    </xf>
    <xf numFmtId="0" fontId="7" fillId="7" borderId="12" xfId="0" applyFont="1" applyFill="1" applyBorder="1" applyAlignment="1">
      <alignment horizontal="left"/>
    </xf>
    <xf numFmtId="165" fontId="8" fillId="7" borderId="0" xfId="0" applyNumberFormat="1" applyFont="1" applyFill="1"/>
    <xf numFmtId="165" fontId="8" fillId="7" borderId="11" xfId="0" applyNumberFormat="1" applyFont="1" applyFill="1" applyBorder="1"/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165" fontId="8" fillId="8" borderId="2" xfId="0" applyNumberFormat="1" applyFont="1" applyFill="1" applyBorder="1"/>
    <xf numFmtId="165" fontId="8" fillId="8" borderId="13" xfId="0" applyNumberFormat="1" applyFont="1" applyFill="1" applyBorder="1"/>
    <xf numFmtId="0" fontId="8" fillId="8" borderId="6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168" fontId="7" fillId="8" borderId="0" xfId="0" applyNumberFormat="1" applyFont="1" applyFill="1" applyAlignment="1">
      <alignment horizontal="left"/>
    </xf>
    <xf numFmtId="172" fontId="7" fillId="8" borderId="0" xfId="2" applyNumberFormat="1" applyFont="1" applyFill="1" applyBorder="1" applyAlignment="1" applyProtection="1">
      <alignment horizontal="center"/>
    </xf>
    <xf numFmtId="0" fontId="7" fillId="8" borderId="0" xfId="0" applyFont="1" applyFill="1" applyAlignment="1">
      <alignment horizontal="right"/>
    </xf>
    <xf numFmtId="165" fontId="7" fillId="8" borderId="0" xfId="4" applyFont="1" applyFill="1" applyBorder="1" applyAlignment="1" applyProtection="1"/>
    <xf numFmtId="165" fontId="7" fillId="8" borderId="8" xfId="4" applyFont="1" applyFill="1" applyBorder="1" applyAlignment="1" applyProtection="1"/>
    <xf numFmtId="0" fontId="8" fillId="8" borderId="10" xfId="0" applyFont="1" applyFill="1" applyBorder="1" applyAlignment="1">
      <alignment horizontal="left"/>
    </xf>
    <xf numFmtId="165" fontId="7" fillId="8" borderId="0" xfId="0" applyNumberFormat="1" applyFont="1" applyFill="1" applyAlignment="1">
      <alignment horizontal="left"/>
    </xf>
    <xf numFmtId="165" fontId="7" fillId="8" borderId="11" xfId="4" applyFont="1" applyFill="1" applyBorder="1" applyAlignment="1" applyProtection="1"/>
    <xf numFmtId="0" fontId="8" fillId="9" borderId="1" xfId="0" applyFont="1" applyFill="1" applyBorder="1"/>
    <xf numFmtId="0" fontId="7" fillId="9" borderId="2" xfId="0" applyFont="1" applyFill="1" applyBorder="1"/>
    <xf numFmtId="165" fontId="7" fillId="9" borderId="2" xfId="4" applyFont="1" applyFill="1" applyBorder="1" applyAlignment="1" applyProtection="1"/>
    <xf numFmtId="0" fontId="7" fillId="9" borderId="13" xfId="0" applyFont="1" applyFill="1" applyBorder="1"/>
    <xf numFmtId="173" fontId="7" fillId="9" borderId="0" xfId="0" applyNumberFormat="1" applyFont="1" applyFill="1" applyAlignment="1">
      <alignment horizontal="right"/>
    </xf>
    <xf numFmtId="173" fontId="7" fillId="9" borderId="8" xfId="0" applyNumberFormat="1" applyFont="1" applyFill="1" applyBorder="1" applyAlignment="1">
      <alignment horizontal="right"/>
    </xf>
    <xf numFmtId="0" fontId="7" fillId="9" borderId="0" xfId="0" applyFont="1" applyFill="1" applyAlignment="1">
      <alignment horizontal="center"/>
    </xf>
    <xf numFmtId="169" fontId="7" fillId="9" borderId="0" xfId="0" applyNumberFormat="1" applyFont="1" applyFill="1" applyAlignment="1">
      <alignment horizontal="center"/>
    </xf>
    <xf numFmtId="169" fontId="7" fillId="9" borderId="8" xfId="0" applyNumberFormat="1" applyFont="1" applyFill="1" applyBorder="1" applyAlignment="1">
      <alignment horizontal="center"/>
    </xf>
    <xf numFmtId="0" fontId="8" fillId="9" borderId="6" xfId="0" applyFont="1" applyFill="1" applyBorder="1"/>
    <xf numFmtId="0" fontId="7" fillId="9" borderId="0" xfId="0" applyFont="1" applyFill="1"/>
    <xf numFmtId="165" fontId="7" fillId="9" borderId="0" xfId="4" applyFont="1" applyFill="1" applyBorder="1" applyAlignment="1" applyProtection="1"/>
    <xf numFmtId="0" fontId="8" fillId="9" borderId="0" xfId="0" applyFont="1" applyFill="1"/>
    <xf numFmtId="169" fontId="7" fillId="9" borderId="0" xfId="0" applyNumberFormat="1" applyFont="1" applyFill="1"/>
    <xf numFmtId="0" fontId="7" fillId="9" borderId="6" xfId="0" applyFont="1" applyFill="1" applyBorder="1"/>
    <xf numFmtId="0" fontId="8" fillId="9" borderId="0" xfId="0" applyFont="1" applyFill="1" applyAlignment="1">
      <alignment horizontal="right"/>
    </xf>
    <xf numFmtId="174" fontId="8" fillId="9" borderId="8" xfId="0" applyNumberFormat="1" applyFont="1" applyFill="1" applyBorder="1"/>
    <xf numFmtId="0" fontId="5" fillId="9" borderId="1" xfId="0" applyFont="1" applyFill="1" applyBorder="1"/>
    <xf numFmtId="0" fontId="6" fillId="9" borderId="2" xfId="0" applyFont="1" applyFill="1" applyBorder="1"/>
    <xf numFmtId="165" fontId="6" fillId="9" borderId="2" xfId="4" applyFont="1" applyFill="1" applyBorder="1" applyAlignment="1" applyProtection="1"/>
    <xf numFmtId="0" fontId="6" fillId="9" borderId="2" xfId="0" applyFont="1" applyFill="1" applyBorder="1" applyAlignment="1">
      <alignment horizontal="right"/>
    </xf>
    <xf numFmtId="166" fontId="6" fillId="9" borderId="13" xfId="0" applyNumberFormat="1" applyFont="1" applyFill="1" applyBorder="1"/>
    <xf numFmtId="0" fontId="6" fillId="9" borderId="6" xfId="0" applyFont="1" applyFill="1" applyBorder="1"/>
    <xf numFmtId="0" fontId="6" fillId="9" borderId="0" xfId="0" applyFont="1" applyFill="1"/>
    <xf numFmtId="0" fontId="6" fillId="9" borderId="0" xfId="0" applyFont="1" applyFill="1" applyAlignment="1">
      <alignment horizontal="center"/>
    </xf>
    <xf numFmtId="0" fontId="6" fillId="9" borderId="10" xfId="0" applyFont="1" applyFill="1" applyBorder="1"/>
    <xf numFmtId="0" fontId="6" fillId="9" borderId="12" xfId="0" applyFont="1" applyFill="1" applyBorder="1"/>
    <xf numFmtId="0" fontId="8" fillId="4" borderId="1" xfId="0" applyFont="1" applyFill="1" applyBorder="1"/>
    <xf numFmtId="0" fontId="7" fillId="4" borderId="2" xfId="0" applyFont="1" applyFill="1" applyBorder="1"/>
    <xf numFmtId="165" fontId="7" fillId="4" borderId="0" xfId="4" applyFont="1" applyFill="1" applyBorder="1" applyAlignment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165" fontId="7" fillId="4" borderId="13" xfId="4" applyFont="1" applyFill="1" applyBorder="1" applyAlignment="1" applyProtection="1">
      <protection locked="0"/>
    </xf>
    <xf numFmtId="0" fontId="7" fillId="4" borderId="0" xfId="0" applyFont="1" applyFill="1"/>
    <xf numFmtId="0" fontId="7" fillId="4" borderId="8" xfId="0" applyFont="1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0" xfId="0" applyFill="1"/>
    <xf numFmtId="0" fontId="0" fillId="4" borderId="11" xfId="0" applyFill="1" applyBorder="1"/>
    <xf numFmtId="0" fontId="8" fillId="10" borderId="1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7" fillId="10" borderId="2" xfId="0" applyFont="1" applyFill="1" applyBorder="1"/>
    <xf numFmtId="165" fontId="8" fillId="10" borderId="2" xfId="4" applyFont="1" applyFill="1" applyBorder="1" applyAlignment="1" applyProtection="1">
      <alignment horizontal="center"/>
    </xf>
    <xf numFmtId="0" fontId="8" fillId="10" borderId="2" xfId="0" applyFont="1" applyFill="1" applyBorder="1" applyAlignment="1">
      <alignment horizontal="center"/>
    </xf>
    <xf numFmtId="10" fontId="7" fillId="10" borderId="13" xfId="0" applyNumberFormat="1" applyFont="1" applyFill="1" applyBorder="1"/>
    <xf numFmtId="165" fontId="8" fillId="10" borderId="0" xfId="4" applyFont="1" applyFill="1" applyBorder="1" applyAlignment="1" applyProtection="1">
      <alignment horizontal="right"/>
    </xf>
    <xf numFmtId="0" fontId="8" fillId="10" borderId="0" xfId="0" applyFont="1" applyFill="1" applyAlignment="1">
      <alignment horizontal="right"/>
    </xf>
    <xf numFmtId="10" fontId="8" fillId="10" borderId="8" xfId="0" applyNumberFormat="1" applyFont="1" applyFill="1" applyBorder="1" applyAlignment="1">
      <alignment horizontal="right"/>
    </xf>
    <xf numFmtId="0" fontId="7" fillId="10" borderId="6" xfId="0" applyFont="1" applyFill="1" applyBorder="1"/>
    <xf numFmtId="0" fontId="7" fillId="10" borderId="0" xfId="0" applyFont="1" applyFill="1"/>
    <xf numFmtId="174" fontId="7" fillId="10" borderId="0" xfId="0" applyNumberFormat="1" applyFont="1" applyFill="1"/>
    <xf numFmtId="4" fontId="7" fillId="10" borderId="0" xfId="4" applyNumberFormat="1" applyFont="1" applyFill="1" applyBorder="1" applyAlignment="1" applyProtection="1"/>
    <xf numFmtId="165" fontId="7" fillId="10" borderId="0" xfId="0" applyNumberFormat="1" applyFont="1" applyFill="1"/>
    <xf numFmtId="10" fontId="7" fillId="10" borderId="8" xfId="0" applyNumberFormat="1" applyFont="1" applyFill="1" applyBorder="1"/>
    <xf numFmtId="0" fontId="7" fillId="10" borderId="6" xfId="0" applyFont="1" applyFill="1" applyBorder="1" applyAlignment="1">
      <alignment horizontal="left"/>
    </xf>
    <xf numFmtId="0" fontId="7" fillId="10" borderId="0" xfId="0" applyFont="1" applyFill="1" applyAlignment="1">
      <alignment horizontal="left"/>
    </xf>
    <xf numFmtId="165" fontId="8" fillId="10" borderId="0" xfId="4" applyFont="1" applyFill="1" applyBorder="1" applyAlignment="1" applyProtection="1"/>
    <xf numFmtId="0" fontId="7" fillId="10" borderId="0" xfId="0" applyFont="1" applyFill="1" applyAlignment="1">
      <alignment horizontal="right"/>
    </xf>
    <xf numFmtId="9" fontId="7" fillId="10" borderId="0" xfId="0" applyNumberFormat="1" applyFont="1" applyFill="1" applyAlignment="1">
      <alignment horizontal="center"/>
    </xf>
    <xf numFmtId="165" fontId="7" fillId="10" borderId="0" xfId="4" applyFont="1" applyFill="1" applyBorder="1" applyAlignment="1" applyProtection="1"/>
    <xf numFmtId="0" fontId="8" fillId="10" borderId="6" xfId="0" applyFont="1" applyFill="1" applyBorder="1" applyAlignment="1">
      <alignment horizontal="left"/>
    </xf>
    <xf numFmtId="0" fontId="8" fillId="10" borderId="0" xfId="0" applyFont="1" applyFill="1" applyAlignment="1">
      <alignment horizontal="left"/>
    </xf>
    <xf numFmtId="165" fontId="8" fillId="10" borderId="0" xfId="0" applyNumberFormat="1" applyFont="1" applyFill="1"/>
    <xf numFmtId="169" fontId="8" fillId="10" borderId="0" xfId="0" applyNumberFormat="1" applyFont="1" applyFill="1" applyAlignment="1">
      <alignment horizontal="left"/>
    </xf>
    <xf numFmtId="169" fontId="8" fillId="10" borderId="0" xfId="0" applyNumberFormat="1" applyFont="1" applyFill="1" applyAlignment="1">
      <alignment vertical="center"/>
    </xf>
    <xf numFmtId="169" fontId="8" fillId="10" borderId="8" xfId="0" applyNumberFormat="1" applyFont="1" applyFill="1" applyBorder="1" applyAlignment="1">
      <alignment vertical="center"/>
    </xf>
    <xf numFmtId="0" fontId="7" fillId="11" borderId="1" xfId="0" applyFont="1" applyFill="1" applyBorder="1"/>
    <xf numFmtId="0" fontId="7" fillId="11" borderId="2" xfId="0" applyFont="1" applyFill="1" applyBorder="1"/>
    <xf numFmtId="0" fontId="7" fillId="11" borderId="13" xfId="0" applyFont="1" applyFill="1" applyBorder="1"/>
    <xf numFmtId="165" fontId="8" fillId="11" borderId="0" xfId="4" applyFont="1" applyFill="1" applyBorder="1" applyAlignment="1" applyProtection="1">
      <alignment horizontal="right"/>
    </xf>
    <xf numFmtId="0" fontId="8" fillId="11" borderId="0" xfId="0" applyFont="1" applyFill="1" applyAlignment="1">
      <alignment horizontal="center"/>
    </xf>
    <xf numFmtId="10" fontId="8" fillId="11" borderId="8" xfId="0" applyNumberFormat="1" applyFont="1" applyFill="1" applyBorder="1" applyAlignment="1">
      <alignment horizontal="right"/>
    </xf>
    <xf numFmtId="0" fontId="7" fillId="11" borderId="6" xfId="0" applyFont="1" applyFill="1" applyBorder="1"/>
    <xf numFmtId="0" fontId="7" fillId="11" borderId="0" xfId="0" applyFont="1" applyFill="1"/>
    <xf numFmtId="174" fontId="7" fillId="11" borderId="0" xfId="0" applyNumberFormat="1" applyFont="1" applyFill="1"/>
    <xf numFmtId="4" fontId="7" fillId="11" borderId="0" xfId="4" applyNumberFormat="1" applyFont="1" applyFill="1" applyBorder="1" applyAlignment="1" applyProtection="1"/>
    <xf numFmtId="165" fontId="7" fillId="11" borderId="0" xfId="0" applyNumberFormat="1" applyFont="1" applyFill="1"/>
    <xf numFmtId="10" fontId="7" fillId="11" borderId="8" xfId="0" applyNumberFormat="1" applyFont="1" applyFill="1" applyBorder="1"/>
    <xf numFmtId="0" fontId="7" fillId="11" borderId="6" xfId="0" applyFont="1" applyFill="1" applyBorder="1" applyAlignment="1">
      <alignment horizontal="left"/>
    </xf>
    <xf numFmtId="0" fontId="7" fillId="11" borderId="0" xfId="0" applyFont="1" applyFill="1" applyAlignment="1">
      <alignment horizontal="left"/>
    </xf>
    <xf numFmtId="165" fontId="8" fillId="11" borderId="0" xfId="4" applyFont="1" applyFill="1" applyBorder="1" applyAlignment="1" applyProtection="1"/>
    <xf numFmtId="0" fontId="7" fillId="11" borderId="0" xfId="0" applyFont="1" applyFill="1" applyAlignment="1">
      <alignment horizontal="right"/>
    </xf>
    <xf numFmtId="9" fontId="7" fillId="11" borderId="0" xfId="0" applyNumberFormat="1" applyFont="1" applyFill="1" applyAlignment="1">
      <alignment horizontal="center"/>
    </xf>
    <xf numFmtId="165" fontId="7" fillId="11" borderId="0" xfId="4" applyFont="1" applyFill="1" applyBorder="1" applyAlignment="1" applyProtection="1"/>
    <xf numFmtId="0" fontId="8" fillId="11" borderId="6" xfId="0" applyFont="1" applyFill="1" applyBorder="1" applyAlignment="1">
      <alignment horizontal="left"/>
    </xf>
    <xf numFmtId="0" fontId="8" fillId="11" borderId="0" xfId="0" applyFont="1" applyFill="1" applyAlignment="1">
      <alignment horizontal="left"/>
    </xf>
    <xf numFmtId="165" fontId="8" fillId="11" borderId="0" xfId="0" applyNumberFormat="1" applyFont="1" applyFill="1"/>
    <xf numFmtId="169" fontId="8" fillId="11" borderId="0" xfId="0" applyNumberFormat="1" applyFont="1" applyFill="1" applyAlignment="1">
      <alignment horizontal="left"/>
    </xf>
    <xf numFmtId="169" fontId="8" fillId="11" borderId="0" xfId="0" applyNumberFormat="1" applyFont="1" applyFill="1" applyAlignment="1">
      <alignment vertical="center"/>
    </xf>
    <xf numFmtId="169" fontId="8" fillId="11" borderId="8" xfId="0" applyNumberFormat="1" applyFont="1" applyFill="1" applyBorder="1" applyAlignment="1">
      <alignment vertical="center"/>
    </xf>
    <xf numFmtId="175" fontId="0" fillId="0" borderId="0" xfId="0" applyNumberFormat="1"/>
    <xf numFmtId="176" fontId="0" fillId="0" borderId="0" xfId="0" applyNumberFormat="1"/>
    <xf numFmtId="2" fontId="0" fillId="0" borderId="0" xfId="0" applyNumberForma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169" fontId="22" fillId="0" borderId="18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14" fontId="5" fillId="3" borderId="4" xfId="0" applyNumberFormat="1" applyFont="1" applyFill="1" applyBorder="1"/>
    <xf numFmtId="0" fontId="26" fillId="10" borderId="10" xfId="0" applyFont="1" applyFill="1" applyBorder="1" applyAlignment="1">
      <alignment horizontal="left"/>
    </xf>
    <xf numFmtId="0" fontId="26" fillId="10" borderId="12" xfId="0" applyFont="1" applyFill="1" applyBorder="1" applyAlignment="1">
      <alignment horizontal="left"/>
    </xf>
    <xf numFmtId="165" fontId="26" fillId="10" borderId="12" xfId="4" applyFont="1" applyFill="1" applyBorder="1" applyAlignment="1" applyProtection="1"/>
    <xf numFmtId="0" fontId="26" fillId="10" borderId="12" xfId="0" applyFont="1" applyFill="1" applyBorder="1"/>
    <xf numFmtId="165" fontId="26" fillId="10" borderId="12" xfId="0" applyNumberFormat="1" applyFont="1" applyFill="1" applyBorder="1"/>
    <xf numFmtId="43" fontId="26" fillId="10" borderId="11" xfId="0" applyNumberFormat="1" applyFont="1" applyFill="1" applyBorder="1"/>
    <xf numFmtId="0" fontId="8" fillId="10" borderId="10" xfId="0" applyFont="1" applyFill="1" applyBorder="1" applyAlignment="1">
      <alignment horizontal="left"/>
    </xf>
    <xf numFmtId="0" fontId="8" fillId="10" borderId="12" xfId="0" applyFont="1" applyFill="1" applyBorder="1" applyAlignment="1">
      <alignment horizontal="left"/>
    </xf>
    <xf numFmtId="165" fontId="8" fillId="10" borderId="12" xfId="4" applyFont="1" applyFill="1" applyBorder="1" applyAlignment="1" applyProtection="1"/>
    <xf numFmtId="0" fontId="8" fillId="10" borderId="12" xfId="0" applyFont="1" applyFill="1" applyBorder="1"/>
    <xf numFmtId="165" fontId="8" fillId="10" borderId="12" xfId="0" applyNumberFormat="1" applyFont="1" applyFill="1" applyBorder="1"/>
    <xf numFmtId="43" fontId="8" fillId="10" borderId="11" xfId="0" applyNumberFormat="1" applyFont="1" applyFill="1" applyBorder="1"/>
    <xf numFmtId="0" fontId="27" fillId="0" borderId="0" xfId="0" applyFont="1"/>
    <xf numFmtId="0" fontId="8" fillId="11" borderId="10" xfId="0" applyFont="1" applyFill="1" applyBorder="1"/>
    <xf numFmtId="0" fontId="8" fillId="11" borderId="12" xfId="0" applyFont="1" applyFill="1" applyBorder="1"/>
    <xf numFmtId="43" fontId="8" fillId="11" borderId="11" xfId="0" applyNumberFormat="1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168" fontId="30" fillId="0" borderId="0" xfId="1" applyFont="1" applyBorder="1" applyAlignment="1" applyProtection="1">
      <alignment horizontal="center"/>
    </xf>
    <xf numFmtId="0" fontId="8" fillId="4" borderId="13" xfId="0" applyFont="1" applyFill="1" applyBorder="1" applyAlignment="1">
      <alignment horizontal="center"/>
    </xf>
    <xf numFmtId="0" fontId="7" fillId="5" borderId="19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>
      <alignment horizontal="center"/>
    </xf>
    <xf numFmtId="9" fontId="7" fillId="13" borderId="0" xfId="0" applyNumberFormat="1" applyFont="1" applyFill="1" applyAlignment="1">
      <alignment horizontal="center"/>
    </xf>
    <xf numFmtId="178" fontId="6" fillId="9" borderId="13" xfId="0" applyNumberFormat="1" applyFont="1" applyFill="1" applyBorder="1"/>
    <xf numFmtId="167" fontId="6" fillId="3" borderId="12" xfId="0" applyNumberFormat="1" applyFont="1" applyFill="1" applyBorder="1"/>
    <xf numFmtId="179" fontId="7" fillId="14" borderId="0" xfId="0" applyNumberFormat="1" applyFont="1" applyFill="1" applyAlignment="1">
      <alignment horizontal="center"/>
    </xf>
    <xf numFmtId="179" fontId="7" fillId="15" borderId="0" xfId="0" quotePrefix="1" applyNumberFormat="1" applyFont="1" applyFill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7" fillId="12" borderId="20" xfId="0" applyFont="1" applyFill="1" applyBorder="1" applyAlignment="1" applyProtection="1">
      <alignment horizontal="center"/>
      <protection locked="0"/>
    </xf>
    <xf numFmtId="168" fontId="7" fillId="5" borderId="20" xfId="0" applyNumberFormat="1" applyFont="1" applyFill="1" applyBorder="1"/>
    <xf numFmtId="165" fontId="7" fillId="13" borderId="0" xfId="4" applyFont="1" applyFill="1" applyBorder="1" applyAlignment="1" applyProtection="1">
      <alignment horizontal="center"/>
    </xf>
    <xf numFmtId="0" fontId="30" fillId="9" borderId="2" xfId="0" applyFont="1" applyFill="1" applyBorder="1"/>
    <xf numFmtId="0" fontId="32" fillId="4" borderId="5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 vertical="center"/>
    </xf>
    <xf numFmtId="0" fontId="7" fillId="5" borderId="20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8" fillId="3" borderId="10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9" fontId="7" fillId="3" borderId="18" xfId="0" applyNumberFormat="1" applyFont="1" applyFill="1" applyBorder="1" applyAlignment="1">
      <alignment horizontal="center"/>
    </xf>
    <xf numFmtId="0" fontId="8" fillId="2" borderId="6" xfId="0" applyFont="1" applyFill="1" applyBorder="1" applyAlignment="1" applyProtection="1">
      <alignment horizontal="left"/>
      <protection locked="0"/>
    </xf>
    <xf numFmtId="4" fontId="5" fillId="3" borderId="7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1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left"/>
    </xf>
    <xf numFmtId="0" fontId="8" fillId="10" borderId="6" xfId="0" applyFont="1" applyFill="1" applyBorder="1" applyAlignment="1">
      <alignment horizontal="left"/>
    </xf>
    <xf numFmtId="0" fontId="20" fillId="11" borderId="6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left"/>
    </xf>
    <xf numFmtId="0" fontId="7" fillId="11" borderId="6" xfId="0" applyFont="1" applyFill="1" applyBorder="1" applyAlignment="1">
      <alignment horizontal="left"/>
    </xf>
    <xf numFmtId="4" fontId="5" fillId="9" borderId="11" xfId="0" applyNumberFormat="1" applyFont="1" applyFill="1" applyBorder="1" applyAlignment="1">
      <alignment horizontal="center"/>
    </xf>
    <xf numFmtId="0" fontId="20" fillId="4" borderId="6" xfId="0" applyFont="1" applyFill="1" applyBorder="1" applyAlignment="1">
      <alignment horizontal="left"/>
    </xf>
    <xf numFmtId="0" fontId="20" fillId="10" borderId="6" xfId="0" applyFont="1" applyFill="1" applyBorder="1" applyAlignment="1">
      <alignment horizontal="center"/>
    </xf>
    <xf numFmtId="165" fontId="7" fillId="9" borderId="0" xfId="4" applyFont="1" applyFill="1" applyBorder="1" applyAlignment="1" applyProtection="1">
      <alignment horizontal="right" vertical="center"/>
    </xf>
    <xf numFmtId="0" fontId="7" fillId="9" borderId="8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5" fillId="9" borderId="8" xfId="0" applyFont="1" applyFill="1" applyBorder="1" applyAlignment="1">
      <alignment horizontal="center"/>
    </xf>
    <xf numFmtId="4" fontId="5" fillId="9" borderId="8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left"/>
    </xf>
    <xf numFmtId="0" fontId="7" fillId="7" borderId="10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center" vertical="center" wrapText="1"/>
    </xf>
    <xf numFmtId="177" fontId="25" fillId="6" borderId="5" xfId="0" applyNumberFormat="1" applyFont="1" applyFill="1" applyBorder="1" applyAlignment="1">
      <alignment horizontal="center" vertical="center"/>
    </xf>
    <xf numFmtId="177" fontId="25" fillId="6" borderId="9" xfId="0" applyNumberFormat="1" applyFont="1" applyFill="1" applyBorder="1" applyAlignment="1">
      <alignment horizontal="center" vertical="center"/>
    </xf>
    <xf numFmtId="165" fontId="7" fillId="4" borderId="10" xfId="4" applyFont="1" applyFill="1" applyBorder="1" applyAlignment="1" applyProtection="1">
      <alignment horizontal="left" vertical="center"/>
    </xf>
    <xf numFmtId="0" fontId="8" fillId="2" borderId="13" xfId="0" applyFont="1" applyFill="1" applyBorder="1" applyAlignment="1">
      <alignment horizontal="center"/>
    </xf>
    <xf numFmtId="0" fontId="26" fillId="16" borderId="18" xfId="0" applyFont="1" applyFill="1" applyBorder="1" applyAlignment="1">
      <alignment horizontal="center"/>
    </xf>
    <xf numFmtId="169" fontId="17" fillId="6" borderId="4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180" fontId="14" fillId="4" borderId="4" xfId="0" applyNumberFormat="1" applyFont="1" applyFill="1" applyBorder="1" applyAlignment="1">
      <alignment horizontal="center" vertical="center"/>
    </xf>
    <xf numFmtId="165" fontId="8" fillId="4" borderId="3" xfId="4" applyFont="1" applyFill="1" applyBorder="1" applyAlignment="1" applyProtection="1">
      <alignment horizontal="center" vertical="center"/>
    </xf>
    <xf numFmtId="165" fontId="7" fillId="5" borderId="4" xfId="4" applyFont="1" applyFill="1" applyBorder="1" applyAlignment="1" applyProtection="1">
      <alignment horizontal="center" vertical="center"/>
      <protection locked="0"/>
    </xf>
    <xf numFmtId="165" fontId="7" fillId="4" borderId="1" xfId="4" applyFont="1" applyFill="1" applyBorder="1" applyAlignment="1" applyProtection="1">
      <alignment horizontal="left" vertical="center"/>
    </xf>
    <xf numFmtId="165" fontId="7" fillId="4" borderId="6" xfId="4" applyFont="1" applyFill="1" applyBorder="1" applyAlignment="1" applyProtection="1">
      <alignment horizontal="left" vertical="center"/>
    </xf>
    <xf numFmtId="177" fontId="25" fillId="6" borderId="18" xfId="0" applyNumberFormat="1" applyFont="1" applyFill="1" applyBorder="1" applyAlignment="1">
      <alignment horizontal="left" vertical="center"/>
    </xf>
    <xf numFmtId="177" fontId="25" fillId="6" borderId="18" xfId="0" applyNumberFormat="1" applyFont="1" applyFill="1" applyBorder="1" applyAlignment="1">
      <alignment vertical="center"/>
    </xf>
    <xf numFmtId="169" fontId="17" fillId="6" borderId="4" xfId="0" applyNumberFormat="1" applyFont="1" applyFill="1" applyBorder="1" applyAlignment="1">
      <alignment vertical="center"/>
    </xf>
    <xf numFmtId="169" fontId="17" fillId="6" borderId="5" xfId="0" applyNumberFormat="1" applyFont="1" applyFill="1" applyBorder="1" applyAlignment="1">
      <alignment horizontal="left" vertical="center"/>
    </xf>
    <xf numFmtId="169" fontId="17" fillId="6" borderId="9" xfId="0" applyNumberFormat="1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77" fontId="25" fillId="6" borderId="5" xfId="0" applyNumberFormat="1" applyFont="1" applyFill="1" applyBorder="1" applyAlignment="1">
      <alignment horizontal="left" vertical="center"/>
    </xf>
    <xf numFmtId="177" fontId="25" fillId="6" borderId="9" xfId="0" applyNumberFormat="1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169" fontId="25" fillId="6" borderId="5" xfId="0" applyNumberFormat="1" applyFont="1" applyFill="1" applyBorder="1" applyAlignment="1">
      <alignment horizontal="center" vertical="center"/>
    </xf>
    <xf numFmtId="169" fontId="25" fillId="6" borderId="9" xfId="0" applyNumberFormat="1" applyFont="1" applyFill="1" applyBorder="1" applyAlignment="1">
      <alignment horizontal="center" vertical="center"/>
    </xf>
    <xf numFmtId="169" fontId="25" fillId="6" borderId="5" xfId="0" applyNumberFormat="1" applyFont="1" applyFill="1" applyBorder="1" applyAlignment="1">
      <alignment horizontal="left" vertical="center"/>
    </xf>
    <xf numFmtId="169" fontId="25" fillId="6" borderId="9" xfId="0" applyNumberFormat="1" applyFont="1" applyFill="1" applyBorder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</cellXfs>
  <cellStyles count="5">
    <cellStyle name="Moeda" xfId="1" builtinId="4"/>
    <cellStyle name="Moeda 2" xfId="3" xr:uid="{00000000-0005-0000-0000-000006000000}"/>
    <cellStyle name="Normal" xfId="0" builtinId="0"/>
    <cellStyle name="Porcentagem" xfId="2" builtinId="5"/>
    <cellStyle name="Vírgula 2" xfId="4" xr:uid="{00000000-0005-0000-0000-000007000000}"/>
  </cellStyles>
  <dxfs count="0"/>
  <tableStyles count="0" defaultTableStyle="TableStyleMedium2" defaultPivotStyle="PivotStyleLight16"/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70"/>
  <sheetViews>
    <sheetView tabSelected="1" topLeftCell="A119" zoomScale="80" zoomScaleNormal="80" workbookViewId="0">
      <selection activeCell="H145" sqref="H145"/>
    </sheetView>
  </sheetViews>
  <sheetFormatPr defaultColWidth="22.5703125" defaultRowHeight="15" x14ac:dyDescent="0.25"/>
  <cols>
    <col min="1" max="1" width="22.5703125" style="1"/>
    <col min="2" max="2" width="21.7109375" style="1" customWidth="1"/>
    <col min="3" max="6" width="18.28515625" style="1" customWidth="1"/>
    <col min="7" max="7" width="15.7109375" style="1" customWidth="1"/>
    <col min="8" max="8" width="15.85546875" style="1" customWidth="1"/>
    <col min="9" max="10" width="9.140625" style="1" customWidth="1"/>
    <col min="11" max="1024" width="22.5703125" style="1"/>
  </cols>
  <sheetData>
    <row r="1" spans="1:10" s="2" customFormat="1" ht="18" x14ac:dyDescent="0.25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s="2" customFormat="1" ht="18" x14ac:dyDescent="0.25">
      <c r="A2" s="323" t="s">
        <v>1</v>
      </c>
      <c r="B2" s="323"/>
      <c r="C2" s="323"/>
      <c r="D2" s="323"/>
      <c r="E2" s="323"/>
      <c r="F2" s="323"/>
      <c r="G2" s="323"/>
      <c r="H2" s="323"/>
      <c r="I2" s="323"/>
      <c r="J2" s="323"/>
    </row>
    <row r="3" spans="1:10" ht="18" x14ac:dyDescent="0.25">
      <c r="A3" s="3"/>
      <c r="B3" s="3"/>
      <c r="C3" s="3"/>
      <c r="D3" s="3"/>
      <c r="E3" s="3"/>
      <c r="F3" s="3"/>
      <c r="G3" s="3"/>
      <c r="H3" s="3"/>
      <c r="I3" s="4"/>
      <c r="J3" s="4"/>
    </row>
    <row r="4" spans="1:10" ht="18" x14ac:dyDescent="0.25">
      <c r="A4" s="3"/>
      <c r="B4" s="3"/>
      <c r="C4" s="3"/>
      <c r="D4" s="3"/>
      <c r="E4" s="3"/>
      <c r="F4" s="3"/>
      <c r="G4" s="3"/>
      <c r="H4" s="3"/>
      <c r="I4" s="4"/>
      <c r="J4" s="4"/>
    </row>
    <row r="5" spans="1:10" s="5" customFormat="1" ht="46.5" x14ac:dyDescent="0.7">
      <c r="A5" s="324" t="s">
        <v>158</v>
      </c>
      <c r="B5" s="324"/>
      <c r="C5" s="324"/>
      <c r="D5" s="324"/>
      <c r="E5" s="324"/>
      <c r="F5" s="324"/>
      <c r="G5" s="324"/>
      <c r="H5" s="324"/>
      <c r="I5" s="324"/>
      <c r="J5" s="324"/>
    </row>
    <row r="6" spans="1:10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8" spans="1:10" s="11" customFormat="1" ht="18.75" x14ac:dyDescent="0.3">
      <c r="A8" s="7" t="s">
        <v>2</v>
      </c>
      <c r="B8" s="8"/>
      <c r="C8" s="8"/>
      <c r="D8" s="9"/>
      <c r="E8" s="9"/>
      <c r="F8" s="8"/>
      <c r="G8" s="10" t="s">
        <v>3</v>
      </c>
      <c r="H8" s="272">
        <v>45995</v>
      </c>
      <c r="I8" s="325" t="s">
        <v>170</v>
      </c>
      <c r="J8" s="325"/>
    </row>
    <row r="9" spans="1:10" s="11" customFormat="1" ht="18.75" x14ac:dyDescent="0.3">
      <c r="A9" s="12"/>
      <c r="B9" s="13"/>
      <c r="C9" s="13" t="s">
        <v>4</v>
      </c>
      <c r="D9" s="14" t="s">
        <v>5</v>
      </c>
      <c r="E9" s="14" t="s">
        <v>6</v>
      </c>
      <c r="F9" s="13" t="s">
        <v>7</v>
      </c>
      <c r="G9" s="326" t="s">
        <v>8</v>
      </c>
      <c r="H9" s="326"/>
      <c r="I9" s="325"/>
      <c r="J9" s="325"/>
    </row>
    <row r="10" spans="1:10" s="11" customFormat="1" ht="18.75" x14ac:dyDescent="0.3">
      <c r="A10" s="12" t="s">
        <v>9</v>
      </c>
      <c r="B10" s="13" t="s">
        <v>10</v>
      </c>
      <c r="C10" s="15">
        <v>6.14</v>
      </c>
      <c r="D10" s="16">
        <v>6.35</v>
      </c>
      <c r="E10" s="16">
        <v>5.98</v>
      </c>
      <c r="F10" s="15">
        <v>6.27</v>
      </c>
      <c r="G10" s="320">
        <f>(C10+D10+E10+F10)/4</f>
        <v>6.1849999999999996</v>
      </c>
      <c r="H10" s="320"/>
      <c r="I10" s="17">
        <v>7</v>
      </c>
      <c r="J10" s="18" t="s">
        <v>11</v>
      </c>
    </row>
    <row r="11" spans="1:10" s="11" customFormat="1" ht="18.75" x14ac:dyDescent="0.3">
      <c r="A11" s="12" t="s">
        <v>12</v>
      </c>
      <c r="B11" s="13" t="s">
        <v>13</v>
      </c>
      <c r="C11" s="15">
        <v>5.99</v>
      </c>
      <c r="D11" s="16">
        <v>6.19</v>
      </c>
      <c r="E11" s="16">
        <v>5.7</v>
      </c>
      <c r="F11" s="15">
        <v>6.09</v>
      </c>
      <c r="G11" s="320">
        <f>(C11+D11+E11+F11)/4</f>
        <v>5.9924999999999997</v>
      </c>
      <c r="H11" s="320"/>
      <c r="I11" s="17">
        <v>3.5</v>
      </c>
      <c r="J11" s="18" t="s">
        <v>11</v>
      </c>
    </row>
    <row r="12" spans="1:10" s="11" customFormat="1" ht="18.75" x14ac:dyDescent="0.3">
      <c r="A12" s="12" t="s">
        <v>12</v>
      </c>
      <c r="B12" s="13" t="s">
        <v>14</v>
      </c>
      <c r="C12" s="15">
        <v>6.14</v>
      </c>
      <c r="D12" s="16">
        <v>6.34</v>
      </c>
      <c r="E12" s="16">
        <v>5.8</v>
      </c>
      <c r="F12" s="15">
        <v>6.39</v>
      </c>
      <c r="G12" s="320">
        <f>(C12+D12+E12+F12)/4</f>
        <v>6.1675000000000004</v>
      </c>
      <c r="H12" s="320"/>
      <c r="I12" s="19">
        <v>3.5</v>
      </c>
      <c r="J12" s="18" t="s">
        <v>11</v>
      </c>
    </row>
    <row r="13" spans="1:10" s="11" customFormat="1" ht="18.75" x14ac:dyDescent="0.3">
      <c r="A13" s="12" t="s">
        <v>9</v>
      </c>
      <c r="B13" s="13" t="s">
        <v>14</v>
      </c>
      <c r="C13" s="15">
        <v>6.14</v>
      </c>
      <c r="D13" s="16">
        <v>6.34</v>
      </c>
      <c r="E13" s="16">
        <v>5.8</v>
      </c>
      <c r="F13" s="15">
        <v>6.39</v>
      </c>
      <c r="G13" s="321">
        <f>(C13+D13+E13+F13)/4</f>
        <v>6.1675000000000004</v>
      </c>
      <c r="H13" s="321"/>
      <c r="I13" s="20">
        <v>5</v>
      </c>
      <c r="J13" s="21" t="s">
        <v>11</v>
      </c>
    </row>
    <row r="14" spans="1:10" s="11" customFormat="1" ht="18.75" x14ac:dyDescent="0.3">
      <c r="A14" s="22"/>
      <c r="B14" s="23"/>
      <c r="C14" s="298"/>
      <c r="D14" s="16"/>
      <c r="E14" s="16"/>
      <c r="F14" s="24"/>
      <c r="G14" s="25"/>
      <c r="H14" s="25"/>
    </row>
    <row r="15" spans="1:10" s="11" customFormat="1" ht="18.75" x14ac:dyDescent="0.3">
      <c r="A15" s="322" t="s">
        <v>15</v>
      </c>
      <c r="B15" s="322"/>
      <c r="C15" s="322"/>
      <c r="D15" s="26">
        <v>0.4</v>
      </c>
      <c r="E15" s="27" t="s">
        <v>10</v>
      </c>
      <c r="F15" s="28"/>
      <c r="G15" s="25"/>
    </row>
    <row r="16" spans="1:10" s="11" customFormat="1" ht="18" x14ac:dyDescent="0.25">
      <c r="A16" s="313" t="s">
        <v>15</v>
      </c>
      <c r="B16" s="313"/>
      <c r="C16" s="313"/>
      <c r="D16" s="30">
        <v>0.6</v>
      </c>
      <c r="E16" s="29" t="s">
        <v>16</v>
      </c>
      <c r="F16" s="21"/>
    </row>
    <row r="17" spans="1:11" s="11" customFormat="1" ht="18" x14ac:dyDescent="0.25"/>
    <row r="18" spans="1:11" s="11" customFormat="1" ht="18" x14ac:dyDescent="0.25">
      <c r="A18" s="31" t="s">
        <v>17</v>
      </c>
      <c r="B18" s="32"/>
      <c r="C18" s="33">
        <v>0.2</v>
      </c>
    </row>
    <row r="19" spans="1:11" s="11" customFormat="1" ht="18" x14ac:dyDescent="0.25"/>
    <row r="20" spans="1:11" s="11" customFormat="1" ht="18" x14ac:dyDescent="0.25">
      <c r="A20" s="316" t="s">
        <v>18</v>
      </c>
      <c r="B20" s="316"/>
      <c r="C20" s="34">
        <v>2448.1</v>
      </c>
      <c r="D20" s="35"/>
      <c r="E20" s="36" t="s">
        <v>19</v>
      </c>
      <c r="F20" s="37"/>
      <c r="G20" s="37"/>
      <c r="H20" s="38"/>
    </row>
    <row r="21" spans="1:11" s="11" customFormat="1" ht="18" x14ac:dyDescent="0.25">
      <c r="A21" s="39" t="s">
        <v>20</v>
      </c>
      <c r="B21" s="40"/>
      <c r="C21" s="41">
        <v>3767.43</v>
      </c>
      <c r="D21" s="29"/>
      <c r="E21" s="317" t="s">
        <v>21</v>
      </c>
      <c r="F21" s="317"/>
      <c r="G21" s="318">
        <v>1</v>
      </c>
      <c r="H21" s="318"/>
    </row>
    <row r="22" spans="1:11" s="11" customFormat="1" ht="18" x14ac:dyDescent="0.25">
      <c r="A22" s="19" t="s">
        <v>159</v>
      </c>
      <c r="B22" s="19"/>
      <c r="C22" s="19"/>
      <c r="D22" s="19"/>
      <c r="E22" s="317" t="s">
        <v>22</v>
      </c>
      <c r="F22" s="317"/>
      <c r="G22" s="318">
        <v>1.25</v>
      </c>
      <c r="H22" s="318"/>
    </row>
    <row r="23" spans="1:11" s="11" customFormat="1" ht="18.75" x14ac:dyDescent="0.3">
      <c r="A23" s="19" t="s">
        <v>160</v>
      </c>
      <c r="B23" s="19"/>
      <c r="C23" s="19"/>
      <c r="D23" s="19"/>
      <c r="E23" s="317" t="s">
        <v>23</v>
      </c>
      <c r="F23" s="317"/>
      <c r="G23" s="318">
        <v>1.25</v>
      </c>
      <c r="H23" s="318"/>
      <c r="I23" s="42" t="s">
        <v>24</v>
      </c>
      <c r="J23" s="42"/>
      <c r="K23" s="42"/>
    </row>
    <row r="24" spans="1:11" s="11" customFormat="1" ht="18" x14ac:dyDescent="0.25"/>
    <row r="25" spans="1:11" s="11" customFormat="1" ht="18" x14ac:dyDescent="0.25"/>
    <row r="26" spans="1:11" s="11" customFormat="1" ht="18" x14ac:dyDescent="0.25">
      <c r="A26" s="43" t="s">
        <v>25</v>
      </c>
      <c r="B26" s="44" t="s">
        <v>26</v>
      </c>
      <c r="C26" s="44" t="s">
        <v>27</v>
      </c>
      <c r="D26" s="44" t="s">
        <v>28</v>
      </c>
      <c r="E26" s="45"/>
      <c r="F26" s="45"/>
      <c r="G26" s="46"/>
    </row>
    <row r="27" spans="1:11" s="11" customFormat="1" ht="18" x14ac:dyDescent="0.25">
      <c r="A27" s="47" t="s">
        <v>29</v>
      </c>
      <c r="B27" s="48">
        <v>37</v>
      </c>
      <c r="C27" s="48">
        <f>B27*20</f>
        <v>740</v>
      </c>
      <c r="D27" s="48">
        <f>B27*200</f>
        <v>7400</v>
      </c>
      <c r="E27" s="49" t="s">
        <v>161</v>
      </c>
      <c r="F27" s="49"/>
      <c r="G27" s="50">
        <f>C27*94.93%</f>
        <v>702.48199999999997</v>
      </c>
    </row>
    <row r="28" spans="1:11" s="11" customFormat="1" ht="18" x14ac:dyDescent="0.25">
      <c r="A28" s="47" t="s">
        <v>30</v>
      </c>
      <c r="B28" s="48"/>
      <c r="C28" s="48">
        <v>270</v>
      </c>
      <c r="D28" s="48"/>
      <c r="E28" s="49" t="s">
        <v>31</v>
      </c>
      <c r="F28" s="49"/>
      <c r="G28" s="50">
        <f>C28*80%</f>
        <v>216</v>
      </c>
    </row>
    <row r="29" spans="1:11" s="11" customFormat="1" ht="18" x14ac:dyDescent="0.25">
      <c r="A29" s="47" t="s">
        <v>32</v>
      </c>
      <c r="B29" s="48">
        <v>0</v>
      </c>
      <c r="C29" s="48"/>
      <c r="D29" s="48"/>
      <c r="E29" s="49"/>
      <c r="F29" s="49"/>
      <c r="G29" s="50"/>
    </row>
    <row r="30" spans="1:11" s="11" customFormat="1" ht="18" x14ac:dyDescent="0.25">
      <c r="A30" s="47" t="s">
        <v>33</v>
      </c>
      <c r="B30" s="48"/>
      <c r="C30" s="48"/>
      <c r="D30" s="48">
        <v>0</v>
      </c>
      <c r="E30" s="49"/>
      <c r="F30" s="49"/>
      <c r="G30" s="50">
        <f>D30/12</f>
        <v>0</v>
      </c>
    </row>
    <row r="31" spans="1:11" s="11" customFormat="1" ht="18" x14ac:dyDescent="0.25">
      <c r="A31" s="51"/>
      <c r="B31" s="52"/>
      <c r="C31" s="52"/>
      <c r="D31" s="52"/>
      <c r="E31" s="52"/>
      <c r="F31" s="52"/>
      <c r="G31" s="53">
        <f>SUM(G27:G30)</f>
        <v>918.48199999999997</v>
      </c>
    </row>
    <row r="32" spans="1:11" s="11" customFormat="1" ht="18" x14ac:dyDescent="0.25"/>
    <row r="33" spans="1:12" s="11" customFormat="1" ht="18" x14ac:dyDescent="0.25"/>
    <row r="34" spans="1:12" s="11" customFormat="1" ht="18" x14ac:dyDescent="0.25"/>
    <row r="35" spans="1:12" s="11" customFormat="1" ht="18" x14ac:dyDescent="0.25">
      <c r="A35" s="43" t="s">
        <v>34</v>
      </c>
      <c r="B35" s="45"/>
      <c r="C35" s="45"/>
      <c r="D35" s="54"/>
      <c r="E35" s="54"/>
      <c r="F35" s="55" t="s">
        <v>28</v>
      </c>
      <c r="G35" s="56" t="s">
        <v>35</v>
      </c>
    </row>
    <row r="36" spans="1:12" s="11" customFormat="1" ht="18" x14ac:dyDescent="0.25">
      <c r="A36" s="314" t="s">
        <v>36</v>
      </c>
      <c r="B36" s="314"/>
      <c r="C36" s="314"/>
      <c r="D36" s="314"/>
      <c r="E36" s="58"/>
      <c r="F36" s="59">
        <v>0</v>
      </c>
      <c r="G36" s="50">
        <f>F36/12</f>
        <v>0</v>
      </c>
    </row>
    <row r="37" spans="1:12" s="11" customFormat="1" ht="18" x14ac:dyDescent="0.25">
      <c r="A37" s="314" t="s">
        <v>37</v>
      </c>
      <c r="B37" s="314"/>
      <c r="C37" s="314"/>
      <c r="D37" s="314"/>
      <c r="E37" s="58"/>
      <c r="F37" s="59">
        <v>0</v>
      </c>
      <c r="G37" s="50">
        <f>F37/12</f>
        <v>0</v>
      </c>
    </row>
    <row r="38" spans="1:12" s="11" customFormat="1" ht="18" x14ac:dyDescent="0.25">
      <c r="A38" s="57" t="s">
        <v>38</v>
      </c>
      <c r="B38" s="58"/>
      <c r="C38" s="58"/>
      <c r="D38" s="58"/>
      <c r="E38" s="58"/>
      <c r="F38" s="59">
        <v>109.27</v>
      </c>
      <c r="G38" s="50">
        <f>F38/12</f>
        <v>9.105833333333333</v>
      </c>
    </row>
    <row r="39" spans="1:12" s="11" customFormat="1" ht="18" x14ac:dyDescent="0.25">
      <c r="A39" s="60" t="s">
        <v>39</v>
      </c>
      <c r="B39" s="58"/>
      <c r="C39" s="61" t="s">
        <v>40</v>
      </c>
      <c r="D39" s="61" t="s">
        <v>41</v>
      </c>
      <c r="E39" s="61"/>
      <c r="F39" s="62"/>
      <c r="G39" s="63"/>
    </row>
    <row r="40" spans="1:12" s="11" customFormat="1" ht="18" x14ac:dyDescent="0.25">
      <c r="A40" s="64" t="s">
        <v>42</v>
      </c>
      <c r="B40" s="65"/>
      <c r="C40" s="65">
        <v>2</v>
      </c>
      <c r="D40" s="66">
        <v>35</v>
      </c>
      <c r="E40" s="66"/>
      <c r="F40" s="62">
        <f>D40*C40</f>
        <v>70</v>
      </c>
      <c r="G40" s="63">
        <f>F40/12</f>
        <v>5.833333333333333</v>
      </c>
    </row>
    <row r="41" spans="1:12" s="11" customFormat="1" ht="18" x14ac:dyDescent="0.25">
      <c r="A41" s="64" t="s">
        <v>43</v>
      </c>
      <c r="B41" s="65"/>
      <c r="C41" s="65">
        <v>0.5</v>
      </c>
      <c r="D41" s="66">
        <v>442.5</v>
      </c>
      <c r="E41" s="66"/>
      <c r="F41" s="62">
        <f>D41*C41</f>
        <v>221.25</v>
      </c>
      <c r="G41" s="63">
        <f>F41/12</f>
        <v>18.4375</v>
      </c>
    </row>
    <row r="42" spans="1:12" s="11" customFormat="1" ht="18" x14ac:dyDescent="0.25">
      <c r="A42" s="64" t="s">
        <v>44</v>
      </c>
      <c r="B42" s="65"/>
      <c r="C42" s="65">
        <v>2</v>
      </c>
      <c r="D42" s="66">
        <v>325</v>
      </c>
      <c r="E42" s="66"/>
      <c r="F42" s="62">
        <f>D42*C42</f>
        <v>650</v>
      </c>
      <c r="G42" s="63">
        <f>F42/12</f>
        <v>54.166666666666664</v>
      </c>
      <c r="K42" s="67"/>
    </row>
    <row r="43" spans="1:12" s="11" customFormat="1" ht="18" x14ac:dyDescent="0.25">
      <c r="A43" s="319" t="s">
        <v>45</v>
      </c>
      <c r="B43" s="319"/>
      <c r="C43" s="319"/>
      <c r="D43" s="319"/>
      <c r="E43" s="68"/>
      <c r="F43" s="62"/>
      <c r="G43" s="63"/>
      <c r="K43" s="67"/>
    </row>
    <row r="44" spans="1:12" s="11" customFormat="1" ht="18" x14ac:dyDescent="0.25">
      <c r="A44" s="314" t="s">
        <v>46</v>
      </c>
      <c r="B44" s="314"/>
      <c r="C44" s="314"/>
      <c r="D44" s="314"/>
      <c r="E44" s="58"/>
      <c r="F44" s="62">
        <v>650</v>
      </c>
      <c r="G44" s="63">
        <f>F44/12</f>
        <v>54.166666666666664</v>
      </c>
      <c r="K44" s="67"/>
      <c r="L44" s="69"/>
    </row>
    <row r="45" spans="1:12" s="11" customFormat="1" ht="18" x14ac:dyDescent="0.25">
      <c r="A45" s="314" t="s">
        <v>47</v>
      </c>
      <c r="B45" s="314"/>
      <c r="C45" s="314"/>
      <c r="D45" s="314"/>
      <c r="E45" s="58"/>
      <c r="F45" s="62">
        <v>3700</v>
      </c>
      <c r="G45" s="63">
        <f>F45/12</f>
        <v>308.33333333333331</v>
      </c>
    </row>
    <row r="46" spans="1:12" s="11" customFormat="1" ht="18" x14ac:dyDescent="0.25">
      <c r="A46" s="314" t="s">
        <v>48</v>
      </c>
      <c r="B46" s="314"/>
      <c r="C46" s="314"/>
      <c r="D46" s="314"/>
      <c r="E46" s="58"/>
      <c r="F46" s="62">
        <v>493.5</v>
      </c>
      <c r="G46" s="63">
        <f>F46/12</f>
        <v>41.125</v>
      </c>
    </row>
    <row r="47" spans="1:12" s="11" customFormat="1" ht="18" x14ac:dyDescent="0.25">
      <c r="A47" s="315" t="s">
        <v>171</v>
      </c>
      <c r="B47" s="315"/>
      <c r="C47" s="315"/>
      <c r="D47" s="315"/>
      <c r="E47" s="70"/>
      <c r="F47" s="71">
        <v>421</v>
      </c>
      <c r="G47" s="72">
        <f>F47/12</f>
        <v>35.083333333333336</v>
      </c>
    </row>
    <row r="48" spans="1:12" s="11" customFormat="1" ht="18" x14ac:dyDescent="0.25"/>
    <row r="49" spans="1:6" s="11" customFormat="1" ht="18" x14ac:dyDescent="0.25"/>
    <row r="50" spans="1:6" s="11" customFormat="1" ht="18" x14ac:dyDescent="0.25">
      <c r="A50" s="73" t="s">
        <v>49</v>
      </c>
      <c r="B50" s="74" t="s">
        <v>50</v>
      </c>
    </row>
    <row r="51" spans="1:6" s="11" customFormat="1" ht="18" x14ac:dyDescent="0.25">
      <c r="A51" s="11" t="s">
        <v>51</v>
      </c>
      <c r="B51" s="75">
        <v>45992</v>
      </c>
    </row>
    <row r="52" spans="1:6" s="11" customFormat="1" ht="18" x14ac:dyDescent="0.25">
      <c r="B52" s="75"/>
    </row>
    <row r="53" spans="1:6" s="11" customFormat="1" ht="18.75" x14ac:dyDescent="0.3">
      <c r="A53" s="76" t="s">
        <v>52</v>
      </c>
    </row>
    <row r="54" spans="1:6" s="11" customFormat="1" ht="18" x14ac:dyDescent="0.25">
      <c r="A54" s="77" t="s">
        <v>53</v>
      </c>
      <c r="B54" s="11" t="s">
        <v>54</v>
      </c>
      <c r="C54" s="78" t="s">
        <v>49</v>
      </c>
      <c r="E54" s="11" t="s">
        <v>55</v>
      </c>
      <c r="F54" s="79"/>
    </row>
    <row r="55" spans="1:6" s="11" customFormat="1" ht="18" x14ac:dyDescent="0.25">
      <c r="A55" s="77">
        <v>2014</v>
      </c>
      <c r="B55" s="79">
        <v>55888</v>
      </c>
      <c r="C55" s="80">
        <f t="shared" ref="C55:C63" si="0">B55*5%</f>
        <v>2794.4</v>
      </c>
    </row>
    <row r="56" spans="1:6" s="11" customFormat="1" ht="18" x14ac:dyDescent="0.25">
      <c r="A56" s="77">
        <v>2013</v>
      </c>
      <c r="B56" s="79">
        <v>54524</v>
      </c>
      <c r="C56" s="80">
        <f t="shared" si="0"/>
        <v>2726.2000000000003</v>
      </c>
      <c r="E56" s="11" t="s">
        <v>56</v>
      </c>
    </row>
    <row r="57" spans="1:6" s="11" customFormat="1" ht="18" x14ac:dyDescent="0.25">
      <c r="A57" s="77">
        <v>2012</v>
      </c>
      <c r="B57" s="79">
        <v>47606</v>
      </c>
      <c r="C57" s="80">
        <f t="shared" si="0"/>
        <v>2380.3000000000002</v>
      </c>
      <c r="E57" s="11" t="s">
        <v>57</v>
      </c>
    </row>
    <row r="58" spans="1:6" s="11" customFormat="1" ht="18" x14ac:dyDescent="0.25">
      <c r="A58" s="77">
        <v>2011</v>
      </c>
      <c r="B58" s="79">
        <v>41374</v>
      </c>
      <c r="C58" s="80">
        <f t="shared" si="0"/>
        <v>2068.7000000000003</v>
      </c>
      <c r="E58" s="11" t="s">
        <v>58</v>
      </c>
    </row>
    <row r="59" spans="1:6" s="11" customFormat="1" ht="18" x14ac:dyDescent="0.25">
      <c r="A59" s="77">
        <v>2010</v>
      </c>
      <c r="B59" s="79">
        <v>40364</v>
      </c>
      <c r="C59" s="80">
        <f t="shared" si="0"/>
        <v>2018.2</v>
      </c>
    </row>
    <row r="60" spans="1:6" s="11" customFormat="1" ht="18" x14ac:dyDescent="0.25">
      <c r="A60" s="77">
        <v>2009</v>
      </c>
      <c r="B60" s="79">
        <v>35562</v>
      </c>
      <c r="C60" s="80">
        <f t="shared" si="0"/>
        <v>1778.1000000000001</v>
      </c>
      <c r="E60" s="11" t="s">
        <v>59</v>
      </c>
    </row>
    <row r="61" spans="1:6" s="11" customFormat="1" ht="18" x14ac:dyDescent="0.25">
      <c r="A61" s="77">
        <v>2008</v>
      </c>
      <c r="B61" s="79">
        <v>34380</v>
      </c>
      <c r="C61" s="80">
        <f t="shared" si="0"/>
        <v>1719</v>
      </c>
      <c r="E61" s="78" t="s">
        <v>60</v>
      </c>
    </row>
    <row r="62" spans="1:6" s="11" customFormat="1" ht="18" x14ac:dyDescent="0.25">
      <c r="A62" s="77">
        <v>2007</v>
      </c>
      <c r="B62" s="79">
        <v>30880</v>
      </c>
      <c r="C62" s="80">
        <f t="shared" si="0"/>
        <v>1544</v>
      </c>
    </row>
    <row r="63" spans="1:6" s="11" customFormat="1" ht="18" x14ac:dyDescent="0.25">
      <c r="A63" s="77">
        <v>2006</v>
      </c>
      <c r="B63" s="79">
        <v>28774</v>
      </c>
      <c r="C63" s="80">
        <f t="shared" si="0"/>
        <v>1438.7</v>
      </c>
      <c r="E63" s="11" t="s">
        <v>61</v>
      </c>
    </row>
    <row r="64" spans="1:6" s="11" customFormat="1" ht="18" x14ac:dyDescent="0.25">
      <c r="A64" s="77"/>
      <c r="B64" s="79"/>
    </row>
    <row r="65" spans="1:5" s="11" customFormat="1" ht="18.75" x14ac:dyDescent="0.3">
      <c r="A65" s="76" t="s">
        <v>62</v>
      </c>
      <c r="E65" s="11" t="s">
        <v>63</v>
      </c>
    </row>
    <row r="66" spans="1:5" s="11" customFormat="1" ht="18" x14ac:dyDescent="0.25">
      <c r="A66" s="77" t="s">
        <v>53</v>
      </c>
      <c r="B66" s="11" t="s">
        <v>54</v>
      </c>
      <c r="C66" s="77" t="s">
        <v>49</v>
      </c>
      <c r="E66" s="11" t="s">
        <v>64</v>
      </c>
    </row>
    <row r="67" spans="1:5" s="11" customFormat="1" ht="18" x14ac:dyDescent="0.25">
      <c r="A67" s="77">
        <v>2006</v>
      </c>
      <c r="B67" s="79">
        <v>26133</v>
      </c>
      <c r="C67" s="81">
        <f>B67*5%</f>
        <v>1306.6500000000001</v>
      </c>
    </row>
    <row r="68" spans="1:5" s="11" customFormat="1" ht="18" x14ac:dyDescent="0.25">
      <c r="A68" s="77"/>
      <c r="B68" s="79"/>
      <c r="E68" s="11" t="s">
        <v>65</v>
      </c>
    </row>
    <row r="69" spans="1:5" s="11" customFormat="1" ht="18.75" x14ac:dyDescent="0.3">
      <c r="A69" s="76" t="s">
        <v>68</v>
      </c>
      <c r="E69" s="11" t="s">
        <v>163</v>
      </c>
    </row>
    <row r="70" spans="1:5" s="11" customFormat="1" ht="18" x14ac:dyDescent="0.25">
      <c r="A70" s="77" t="s">
        <v>53</v>
      </c>
      <c r="B70" s="11" t="s">
        <v>54</v>
      </c>
      <c r="C70" s="77" t="s">
        <v>49</v>
      </c>
    </row>
    <row r="71" spans="1:5" s="11" customFormat="1" ht="18" x14ac:dyDescent="0.25">
      <c r="A71" s="77">
        <v>2017</v>
      </c>
      <c r="B71" s="79">
        <v>125485</v>
      </c>
      <c r="C71" s="81">
        <f t="shared" ref="C71:C78" si="1">B71*5%</f>
        <v>6274.25</v>
      </c>
      <c r="E71" s="11" t="s">
        <v>66</v>
      </c>
    </row>
    <row r="72" spans="1:5" s="11" customFormat="1" ht="18" x14ac:dyDescent="0.25">
      <c r="A72" s="77">
        <v>2016</v>
      </c>
      <c r="B72" s="79">
        <v>121924</v>
      </c>
      <c r="C72" s="81">
        <f t="shared" si="1"/>
        <v>6096.2000000000007</v>
      </c>
      <c r="E72" s="11" t="s">
        <v>67</v>
      </c>
    </row>
    <row r="73" spans="1:5" s="11" customFormat="1" ht="18" x14ac:dyDescent="0.25">
      <c r="A73" s="77">
        <v>2015</v>
      </c>
      <c r="B73" s="79">
        <v>115095</v>
      </c>
      <c r="C73" s="81">
        <f t="shared" si="1"/>
        <v>5754.75</v>
      </c>
    </row>
    <row r="74" spans="1:5" s="11" customFormat="1" ht="18" x14ac:dyDescent="0.25">
      <c r="A74" s="77">
        <v>2014</v>
      </c>
      <c r="B74" s="79">
        <v>109580</v>
      </c>
      <c r="C74" s="81">
        <f t="shared" si="1"/>
        <v>5479</v>
      </c>
      <c r="E74" s="11" t="s">
        <v>69</v>
      </c>
    </row>
    <row r="75" spans="1:5" s="11" customFormat="1" ht="18" x14ac:dyDescent="0.25">
      <c r="A75" s="77">
        <v>2013</v>
      </c>
      <c r="B75" s="79">
        <v>103676</v>
      </c>
      <c r="C75" s="81">
        <f t="shared" si="1"/>
        <v>5183.8</v>
      </c>
      <c r="E75" s="11" t="s">
        <v>166</v>
      </c>
    </row>
    <row r="76" spans="1:5" s="11" customFormat="1" ht="18" x14ac:dyDescent="0.25">
      <c r="A76" s="77">
        <v>2012</v>
      </c>
      <c r="B76" s="79">
        <v>89353</v>
      </c>
      <c r="C76" s="81">
        <f t="shared" si="1"/>
        <v>4467.6500000000005</v>
      </c>
    </row>
    <row r="77" spans="1:5" s="11" customFormat="1" ht="18" x14ac:dyDescent="0.25">
      <c r="A77" s="77">
        <v>2011</v>
      </c>
      <c r="B77" s="79">
        <v>78216</v>
      </c>
      <c r="C77" s="81">
        <f t="shared" si="1"/>
        <v>3910.8</v>
      </c>
    </row>
    <row r="78" spans="1:5" s="11" customFormat="1" ht="18" x14ac:dyDescent="0.25">
      <c r="A78" s="77">
        <v>2010</v>
      </c>
      <c r="B78" s="79">
        <v>68134</v>
      </c>
      <c r="C78" s="81">
        <f t="shared" si="1"/>
        <v>3406.7000000000003</v>
      </c>
      <c r="E78" s="11" t="s">
        <v>70</v>
      </c>
    </row>
    <row r="79" spans="1:5" s="11" customFormat="1" ht="18" x14ac:dyDescent="0.25">
      <c r="A79" s="77"/>
      <c r="B79" s="79"/>
      <c r="E79" s="11" t="s">
        <v>71</v>
      </c>
    </row>
    <row r="80" spans="1:5" s="11" customFormat="1" ht="18.75" x14ac:dyDescent="0.3">
      <c r="A80" s="76" t="s">
        <v>75</v>
      </c>
      <c r="E80" s="11" t="s">
        <v>72</v>
      </c>
    </row>
    <row r="81" spans="1:5" s="11" customFormat="1" ht="18" x14ac:dyDescent="0.25">
      <c r="A81" s="77" t="s">
        <v>53</v>
      </c>
      <c r="B81" s="11" t="s">
        <v>54</v>
      </c>
      <c r="C81" s="77" t="s">
        <v>49</v>
      </c>
    </row>
    <row r="82" spans="1:5" s="11" customFormat="1" ht="18" x14ac:dyDescent="0.25">
      <c r="A82" s="77">
        <v>2012</v>
      </c>
      <c r="B82" s="79">
        <v>74563</v>
      </c>
      <c r="C82" s="81">
        <f>B82*5%</f>
        <v>3728.15</v>
      </c>
      <c r="E82" s="11" t="s">
        <v>73</v>
      </c>
    </row>
    <row r="83" spans="1:5" s="11" customFormat="1" ht="18" x14ac:dyDescent="0.25">
      <c r="A83" s="77">
        <v>2011</v>
      </c>
      <c r="B83" s="79">
        <v>70612</v>
      </c>
      <c r="C83" s="81">
        <f>B83*5%</f>
        <v>3530.6000000000004</v>
      </c>
      <c r="E83" s="11" t="s">
        <v>74</v>
      </c>
    </row>
    <row r="84" spans="1:5" s="11" customFormat="1" ht="18" x14ac:dyDescent="0.25">
      <c r="A84" s="77">
        <v>2010</v>
      </c>
      <c r="B84" s="79">
        <v>61751</v>
      </c>
      <c r="C84" s="81">
        <f>B84*5%</f>
        <v>3087.55</v>
      </c>
    </row>
    <row r="85" spans="1:5" s="11" customFormat="1" ht="18" x14ac:dyDescent="0.25">
      <c r="E85" s="11" t="s">
        <v>164</v>
      </c>
    </row>
    <row r="86" spans="1:5" s="11" customFormat="1" ht="18.75" x14ac:dyDescent="0.3">
      <c r="A86" s="76" t="s">
        <v>77</v>
      </c>
      <c r="B86" s="76"/>
      <c r="C86" s="76"/>
      <c r="E86" s="11" t="s">
        <v>76</v>
      </c>
    </row>
    <row r="87" spans="1:5" s="11" customFormat="1" ht="18" x14ac:dyDescent="0.25">
      <c r="A87" s="77" t="s">
        <v>53</v>
      </c>
      <c r="B87" s="77" t="s">
        <v>54</v>
      </c>
      <c r="C87" s="77" t="s">
        <v>49</v>
      </c>
    </row>
    <row r="88" spans="1:5" s="11" customFormat="1" ht="18" x14ac:dyDescent="0.25">
      <c r="A88" s="77">
        <v>2013</v>
      </c>
      <c r="B88" s="82">
        <v>96177</v>
      </c>
      <c r="C88" s="82">
        <f t="shared" ref="C88:C93" si="2">B88*5%</f>
        <v>4808.8500000000004</v>
      </c>
      <c r="E88" s="11" t="s">
        <v>165</v>
      </c>
    </row>
    <row r="89" spans="1:5" s="11" customFormat="1" ht="18" x14ac:dyDescent="0.25">
      <c r="A89" s="77">
        <v>2012</v>
      </c>
      <c r="B89" s="82">
        <v>92625</v>
      </c>
      <c r="C89" s="82">
        <f t="shared" si="2"/>
        <v>4631.25</v>
      </c>
    </row>
    <row r="90" spans="1:5" s="11" customFormat="1" ht="18" x14ac:dyDescent="0.25">
      <c r="A90" s="77">
        <v>2011</v>
      </c>
      <c r="B90" s="82">
        <v>80842</v>
      </c>
      <c r="C90" s="82">
        <f t="shared" si="2"/>
        <v>4042.1000000000004</v>
      </c>
      <c r="E90" s="11" t="s">
        <v>78</v>
      </c>
    </row>
    <row r="91" spans="1:5" s="11" customFormat="1" ht="18" x14ac:dyDescent="0.25">
      <c r="A91" s="77">
        <v>2010</v>
      </c>
      <c r="B91" s="82">
        <v>78870</v>
      </c>
      <c r="C91" s="82">
        <f t="shared" si="2"/>
        <v>3943.5</v>
      </c>
      <c r="E91" s="11" t="s">
        <v>79</v>
      </c>
    </row>
    <row r="92" spans="1:5" s="11" customFormat="1" ht="18" x14ac:dyDescent="0.25">
      <c r="A92" s="77">
        <v>2009</v>
      </c>
      <c r="B92" s="82">
        <v>66065</v>
      </c>
      <c r="C92" s="82">
        <f t="shared" si="2"/>
        <v>3303.25</v>
      </c>
    </row>
    <row r="93" spans="1:5" s="11" customFormat="1" ht="18" x14ac:dyDescent="0.25">
      <c r="A93" s="77">
        <v>2008</v>
      </c>
      <c r="B93" s="82">
        <v>59705</v>
      </c>
      <c r="C93" s="82">
        <f t="shared" si="2"/>
        <v>2985.25</v>
      </c>
    </row>
    <row r="94" spans="1:5" s="11" customFormat="1" ht="18" x14ac:dyDescent="0.25"/>
    <row r="95" spans="1:5" s="11" customFormat="1" ht="18.75" x14ac:dyDescent="0.3">
      <c r="A95" s="76" t="s">
        <v>80</v>
      </c>
    </row>
    <row r="96" spans="1:5" s="11" customFormat="1" ht="18" x14ac:dyDescent="0.25">
      <c r="A96" s="77" t="s">
        <v>53</v>
      </c>
      <c r="B96" s="11" t="s">
        <v>54</v>
      </c>
      <c r="C96" s="11" t="s">
        <v>49</v>
      </c>
    </row>
    <row r="97" spans="1:3" s="11" customFormat="1" ht="18" x14ac:dyDescent="0.25">
      <c r="A97" s="77">
        <v>2011</v>
      </c>
      <c r="B97" s="79">
        <v>82752</v>
      </c>
      <c r="C97" s="81">
        <f t="shared" ref="C97:C102" si="3">B97*5%</f>
        <v>4137.6000000000004</v>
      </c>
    </row>
    <row r="98" spans="1:3" s="11" customFormat="1" ht="18" x14ac:dyDescent="0.25">
      <c r="A98" s="77">
        <v>2010</v>
      </c>
      <c r="B98" s="79">
        <v>78530</v>
      </c>
      <c r="C98" s="81">
        <f t="shared" si="3"/>
        <v>3926.5</v>
      </c>
    </row>
    <row r="99" spans="1:3" s="11" customFormat="1" ht="18" x14ac:dyDescent="0.25">
      <c r="A99" s="77">
        <v>2009</v>
      </c>
      <c r="B99" s="79">
        <v>76144</v>
      </c>
      <c r="C99" s="81">
        <f t="shared" si="3"/>
        <v>3807.2000000000003</v>
      </c>
    </row>
    <row r="100" spans="1:3" s="11" customFormat="1" ht="18" x14ac:dyDescent="0.25">
      <c r="A100" s="77">
        <v>2008</v>
      </c>
      <c r="B100" s="79">
        <v>73764</v>
      </c>
      <c r="C100" s="81">
        <f t="shared" si="3"/>
        <v>3688.2000000000003</v>
      </c>
    </row>
    <row r="101" spans="1:3" s="11" customFormat="1" ht="18" x14ac:dyDescent="0.25">
      <c r="A101" s="77">
        <v>2007</v>
      </c>
      <c r="B101" s="79">
        <v>68110</v>
      </c>
      <c r="C101" s="81">
        <f t="shared" si="3"/>
        <v>3405.5</v>
      </c>
    </row>
    <row r="102" spans="1:3" s="11" customFormat="1" ht="18" x14ac:dyDescent="0.25">
      <c r="A102" s="77">
        <v>2006</v>
      </c>
      <c r="B102" s="79">
        <v>59102</v>
      </c>
      <c r="C102" s="81">
        <f t="shared" si="3"/>
        <v>2955.1000000000004</v>
      </c>
    </row>
    <row r="103" spans="1:3" s="11" customFormat="1" ht="18" x14ac:dyDescent="0.25"/>
    <row r="104" spans="1:3" s="11" customFormat="1" ht="18.75" x14ac:dyDescent="0.3">
      <c r="A104" s="76" t="s">
        <v>81</v>
      </c>
    </row>
    <row r="105" spans="1:3" s="11" customFormat="1" ht="18" x14ac:dyDescent="0.25">
      <c r="A105" s="77" t="s">
        <v>53</v>
      </c>
      <c r="B105" s="11" t="s">
        <v>54</v>
      </c>
      <c r="C105" s="11" t="s">
        <v>49</v>
      </c>
    </row>
    <row r="106" spans="1:3" s="11" customFormat="1" ht="18" x14ac:dyDescent="0.25">
      <c r="A106" s="77">
        <v>2012</v>
      </c>
      <c r="B106" s="79">
        <v>53590</v>
      </c>
      <c r="C106" s="81">
        <f>B106*5%</f>
        <v>2679.5</v>
      </c>
    </row>
    <row r="107" spans="1:3" s="11" customFormat="1" ht="18" x14ac:dyDescent="0.25">
      <c r="A107" s="77">
        <v>2011</v>
      </c>
      <c r="B107" s="79">
        <v>90768</v>
      </c>
      <c r="C107" s="81">
        <f>B107*5%</f>
        <v>4538.4000000000005</v>
      </c>
    </row>
    <row r="108" spans="1:3" s="11" customFormat="1" ht="18" x14ac:dyDescent="0.25">
      <c r="A108" s="77">
        <v>2010</v>
      </c>
      <c r="B108" s="79">
        <v>87919</v>
      </c>
      <c r="C108" s="81">
        <f>B108*5%</f>
        <v>4395.95</v>
      </c>
    </row>
    <row r="109" spans="1:3" s="11" customFormat="1" ht="18" x14ac:dyDescent="0.25">
      <c r="A109" s="77">
        <v>2009</v>
      </c>
      <c r="B109" s="79">
        <v>83905</v>
      </c>
      <c r="C109" s="81">
        <f>B109*5%</f>
        <v>4195.25</v>
      </c>
    </row>
    <row r="110" spans="1:3" s="11" customFormat="1" ht="18" x14ac:dyDescent="0.25">
      <c r="A110" s="77">
        <v>2008</v>
      </c>
      <c r="B110" s="79">
        <v>76175</v>
      </c>
      <c r="C110" s="81">
        <f>B110*5%</f>
        <v>3808.75</v>
      </c>
    </row>
    <row r="111" spans="1:3" s="11" customFormat="1" ht="18" x14ac:dyDescent="0.25"/>
    <row r="112" spans="1:3" s="11" customFormat="1" ht="18.75" x14ac:dyDescent="0.3">
      <c r="A112" s="76" t="s">
        <v>162</v>
      </c>
    </row>
    <row r="113" spans="1:3" s="11" customFormat="1" ht="18" x14ac:dyDescent="0.25">
      <c r="A113" s="77" t="s">
        <v>53</v>
      </c>
      <c r="B113" s="77" t="s">
        <v>54</v>
      </c>
      <c r="C113" s="77" t="s">
        <v>49</v>
      </c>
    </row>
    <row r="114" spans="1:3" s="11" customFormat="1" ht="18" x14ac:dyDescent="0.25">
      <c r="A114" s="77">
        <v>2015</v>
      </c>
      <c r="B114" s="82">
        <v>208066</v>
      </c>
      <c r="C114" s="82">
        <f t="shared" ref="C114:C116" si="4">B114*5%</f>
        <v>10403.300000000001</v>
      </c>
    </row>
    <row r="115" spans="1:3" s="11" customFormat="1" ht="18" x14ac:dyDescent="0.25">
      <c r="A115" s="77">
        <v>2014</v>
      </c>
      <c r="B115" s="82">
        <v>189158</v>
      </c>
      <c r="C115" s="82">
        <f t="shared" si="4"/>
        <v>9457.9</v>
      </c>
    </row>
    <row r="116" spans="1:3" s="11" customFormat="1" ht="18" x14ac:dyDescent="0.25">
      <c r="A116" s="77">
        <v>2013</v>
      </c>
      <c r="B116" s="82">
        <v>170333</v>
      </c>
      <c r="C116" s="82">
        <f t="shared" si="4"/>
        <v>8516.65</v>
      </c>
    </row>
    <row r="117" spans="1:3" s="11" customFormat="1" ht="18" x14ac:dyDescent="0.25">
      <c r="A117" s="77">
        <v>2012</v>
      </c>
      <c r="B117" s="82">
        <v>155554</v>
      </c>
      <c r="C117" s="82">
        <f>B117*5%</f>
        <v>7777.7000000000007</v>
      </c>
    </row>
    <row r="118" spans="1:3" s="11" customFormat="1" ht="18" x14ac:dyDescent="0.25">
      <c r="A118" s="77"/>
      <c r="B118" s="82"/>
      <c r="C118" s="82"/>
    </row>
    <row r="119" spans="1:3" s="11" customFormat="1" ht="18.75" x14ac:dyDescent="0.3">
      <c r="A119" s="76" t="s">
        <v>82</v>
      </c>
    </row>
    <row r="120" spans="1:3" s="11" customFormat="1" ht="18" x14ac:dyDescent="0.25">
      <c r="A120" s="77">
        <v>2012</v>
      </c>
      <c r="B120" s="82">
        <v>97788</v>
      </c>
      <c r="C120" s="82">
        <f>B120*5%</f>
        <v>4889.4000000000005</v>
      </c>
    </row>
    <row r="121" spans="1:3" s="11" customFormat="1" ht="18" x14ac:dyDescent="0.25">
      <c r="A121" s="77">
        <v>2011</v>
      </c>
      <c r="B121" s="82">
        <v>90688</v>
      </c>
      <c r="C121" s="82">
        <f>B121*5%</f>
        <v>4534.4000000000005</v>
      </c>
    </row>
    <row r="122" spans="1:3" s="11" customFormat="1" ht="18" x14ac:dyDescent="0.25">
      <c r="A122" s="77">
        <v>2010</v>
      </c>
      <c r="B122" s="82">
        <v>81460</v>
      </c>
      <c r="C122" s="82">
        <f>B122*5%</f>
        <v>4073</v>
      </c>
    </row>
    <row r="123" spans="1:3" s="11" customFormat="1" ht="18" x14ac:dyDescent="0.25">
      <c r="A123" s="77">
        <v>2009</v>
      </c>
      <c r="B123" s="82">
        <v>78639</v>
      </c>
      <c r="C123" s="82">
        <f>B123*5%</f>
        <v>3931.9500000000003</v>
      </c>
    </row>
    <row r="124" spans="1:3" s="11" customFormat="1" ht="18" x14ac:dyDescent="0.25">
      <c r="A124" s="77">
        <v>2008</v>
      </c>
      <c r="B124" s="82">
        <v>73899</v>
      </c>
      <c r="C124" s="82">
        <f>B124*5%</f>
        <v>3694.9500000000003</v>
      </c>
    </row>
    <row r="125" spans="1:3" s="11" customFormat="1" ht="18" x14ac:dyDescent="0.25">
      <c r="A125" s="77"/>
      <c r="B125" s="77"/>
      <c r="C125" s="77"/>
    </row>
    <row r="126" spans="1:3" s="11" customFormat="1" ht="18.75" x14ac:dyDescent="0.3">
      <c r="A126" s="76" t="s">
        <v>83</v>
      </c>
    </row>
    <row r="127" spans="1:3" s="11" customFormat="1" ht="18" x14ac:dyDescent="0.25">
      <c r="A127" s="77" t="s">
        <v>53</v>
      </c>
      <c r="B127" s="77" t="s">
        <v>54</v>
      </c>
      <c r="C127" s="77" t="s">
        <v>49</v>
      </c>
    </row>
    <row r="128" spans="1:3" s="11" customFormat="1" ht="18" x14ac:dyDescent="0.25">
      <c r="A128" s="77">
        <v>2012</v>
      </c>
      <c r="B128" s="82">
        <v>103732</v>
      </c>
      <c r="C128" s="82">
        <f t="shared" ref="C128:C130" si="5">B128*5%</f>
        <v>5186.6000000000004</v>
      </c>
    </row>
    <row r="129" spans="1:4" s="11" customFormat="1" ht="18" x14ac:dyDescent="0.25">
      <c r="A129" s="77">
        <v>2011</v>
      </c>
      <c r="B129" s="82">
        <v>94616</v>
      </c>
      <c r="C129" s="82">
        <f t="shared" si="5"/>
        <v>4730.8</v>
      </c>
    </row>
    <row r="130" spans="1:4" s="11" customFormat="1" ht="18" x14ac:dyDescent="0.25">
      <c r="A130" s="77">
        <v>2010</v>
      </c>
      <c r="B130" s="82">
        <v>91142</v>
      </c>
      <c r="C130" s="82">
        <f t="shared" si="5"/>
        <v>4557.1000000000004</v>
      </c>
    </row>
    <row r="131" spans="1:4" s="11" customFormat="1" ht="18" x14ac:dyDescent="0.25">
      <c r="A131" s="77">
        <v>2009</v>
      </c>
      <c r="B131" s="82">
        <v>82478</v>
      </c>
      <c r="C131" s="82">
        <f t="shared" ref="C131:C132" si="6">B131*5%</f>
        <v>4123.9000000000005</v>
      </c>
    </row>
    <row r="132" spans="1:4" s="11" customFormat="1" ht="18" x14ac:dyDescent="0.25">
      <c r="A132" s="77">
        <v>2008</v>
      </c>
      <c r="B132" s="82">
        <v>80466</v>
      </c>
      <c r="C132" s="82">
        <f t="shared" si="6"/>
        <v>4023.3</v>
      </c>
    </row>
    <row r="133" spans="1:4" s="11" customFormat="1" ht="18" x14ac:dyDescent="0.25">
      <c r="A133" s="77">
        <v>2007</v>
      </c>
      <c r="B133" s="82">
        <v>74296</v>
      </c>
      <c r="C133" s="82">
        <f>B133*5%</f>
        <v>3714.8</v>
      </c>
    </row>
    <row r="134" spans="1:4" s="11" customFormat="1" ht="18" x14ac:dyDescent="0.25">
      <c r="A134" s="77">
        <v>2006</v>
      </c>
      <c r="B134" s="82">
        <v>71829</v>
      </c>
      <c r="C134" s="82">
        <f>B134*5%</f>
        <v>3591.4500000000003</v>
      </c>
    </row>
    <row r="135" spans="1:4" s="11" customFormat="1" ht="18" x14ac:dyDescent="0.25"/>
    <row r="136" spans="1:4" s="11" customFormat="1" ht="18" x14ac:dyDescent="0.25"/>
    <row r="137" spans="1:4" s="11" customFormat="1" ht="18" x14ac:dyDescent="0.25"/>
    <row r="138" spans="1:4" s="11" customFormat="1" ht="18" x14ac:dyDescent="0.25"/>
    <row r="139" spans="1:4" s="11" customFormat="1" ht="18" x14ac:dyDescent="0.25"/>
    <row r="140" spans="1:4" s="11" customFormat="1" ht="18" x14ac:dyDescent="0.25"/>
    <row r="141" spans="1:4" s="11" customFormat="1" ht="18.75" x14ac:dyDescent="0.3">
      <c r="A141" s="289"/>
      <c r="B141" s="290"/>
      <c r="C141" s="290"/>
    </row>
    <row r="142" spans="1:4" s="11" customFormat="1" ht="18" x14ac:dyDescent="0.25">
      <c r="A142" s="291"/>
      <c r="B142" s="291"/>
      <c r="C142" s="291"/>
    </row>
    <row r="143" spans="1:4" s="11" customFormat="1" ht="23.25" x14ac:dyDescent="0.25">
      <c r="A143" s="384" t="s">
        <v>179</v>
      </c>
      <c r="B143" s="384"/>
      <c r="C143" s="384"/>
      <c r="D143" s="384"/>
    </row>
    <row r="144" spans="1:4" s="11" customFormat="1" ht="23.25" x14ac:dyDescent="0.25">
      <c r="A144" s="384" t="s">
        <v>180</v>
      </c>
      <c r="B144" s="384"/>
      <c r="C144" s="384"/>
      <c r="D144" s="384"/>
    </row>
    <row r="145" spans="1:5" s="11" customFormat="1" ht="18.75" x14ac:dyDescent="0.3">
      <c r="A145" s="289"/>
      <c r="B145" s="290"/>
      <c r="C145" s="290"/>
    </row>
    <row r="146" spans="1:5" s="11" customFormat="1" ht="18" x14ac:dyDescent="0.25">
      <c r="A146" s="291"/>
      <c r="B146" s="291"/>
      <c r="C146" s="291"/>
      <c r="D146" s="1"/>
      <c r="E146" s="1"/>
    </row>
    <row r="147" spans="1:5" s="11" customFormat="1" ht="18" x14ac:dyDescent="0.25">
      <c r="A147" s="291"/>
      <c r="B147" s="292"/>
      <c r="C147" s="292"/>
      <c r="D147" s="1"/>
      <c r="E147" s="1"/>
    </row>
    <row r="148" spans="1:5" s="11" customFormat="1" ht="18" x14ac:dyDescent="0.25">
      <c r="A148" s="290"/>
      <c r="B148" s="290"/>
      <c r="C148" s="290"/>
      <c r="D148" s="1"/>
      <c r="E148" s="1"/>
    </row>
    <row r="149" spans="1:5" s="11" customFormat="1" ht="18.75" x14ac:dyDescent="0.3">
      <c r="A149" s="289"/>
      <c r="B149" s="290"/>
      <c r="C149" s="290"/>
      <c r="D149" s="1"/>
      <c r="E149" s="1"/>
    </row>
    <row r="150" spans="1:5" s="11" customFormat="1" ht="18" x14ac:dyDescent="0.25">
      <c r="A150" s="291"/>
      <c r="B150" s="291"/>
      <c r="C150" s="291"/>
      <c r="D150" s="1"/>
      <c r="E150" s="1"/>
    </row>
    <row r="151" spans="1:5" s="11" customFormat="1" ht="18" x14ac:dyDescent="0.25">
      <c r="A151" s="291"/>
      <c r="B151" s="292"/>
      <c r="C151" s="292"/>
      <c r="D151" s="1"/>
      <c r="E151" s="1"/>
    </row>
    <row r="152" spans="1:5" s="11" customFormat="1" ht="18" x14ac:dyDescent="0.25">
      <c r="A152" s="290"/>
      <c r="B152" s="290"/>
      <c r="C152" s="290"/>
      <c r="D152" s="1"/>
      <c r="E152" s="1"/>
    </row>
    <row r="153" spans="1:5" s="11" customFormat="1" ht="18" x14ac:dyDescent="0.25">
      <c r="A153" s="1"/>
      <c r="B153" s="1"/>
      <c r="C153" s="1"/>
      <c r="D153" s="1"/>
      <c r="E153" s="1"/>
    </row>
    <row r="154" spans="1:5" s="11" customFormat="1" ht="18" x14ac:dyDescent="0.25">
      <c r="A154" s="1"/>
      <c r="B154" s="1"/>
      <c r="C154" s="1"/>
      <c r="D154" s="1"/>
      <c r="E154" s="1"/>
    </row>
    <row r="155" spans="1:5" s="11" customFormat="1" ht="18" x14ac:dyDescent="0.25">
      <c r="A155" s="1"/>
      <c r="B155" s="1"/>
      <c r="C155" s="1"/>
      <c r="D155" s="1"/>
      <c r="E155" s="1"/>
    </row>
    <row r="156" spans="1:5" s="11" customFormat="1" ht="18" x14ac:dyDescent="0.25">
      <c r="A156" s="1"/>
      <c r="B156" s="1"/>
      <c r="C156" s="1"/>
      <c r="D156" s="1"/>
      <c r="E156" s="1"/>
    </row>
    <row r="157" spans="1:5" s="11" customFormat="1" ht="18" x14ac:dyDescent="0.25">
      <c r="A157" s="1"/>
      <c r="B157" s="1"/>
      <c r="C157" s="1"/>
      <c r="D157" s="1"/>
      <c r="E157" s="1"/>
    </row>
    <row r="158" spans="1:5" s="11" customFormat="1" ht="18" x14ac:dyDescent="0.25">
      <c r="A158" s="1"/>
      <c r="B158" s="1"/>
      <c r="C158" s="1"/>
      <c r="D158" s="1"/>
      <c r="E158" s="1"/>
    </row>
    <row r="159" spans="1:5" s="11" customFormat="1" ht="18" x14ac:dyDescent="0.25">
      <c r="A159" s="1"/>
      <c r="B159" s="1"/>
      <c r="C159" s="1"/>
      <c r="D159" s="1"/>
      <c r="E159" s="1"/>
    </row>
    <row r="160" spans="1:5" s="11" customFormat="1" ht="18" x14ac:dyDescent="0.25">
      <c r="A160" s="1"/>
      <c r="B160" s="1"/>
      <c r="C160" s="1"/>
      <c r="D160" s="1"/>
      <c r="E160" s="1"/>
    </row>
    <row r="161" spans="1:5" s="11" customFormat="1" ht="18" x14ac:dyDescent="0.25">
      <c r="A161" s="1"/>
      <c r="B161" s="1"/>
      <c r="C161" s="1"/>
      <c r="D161" s="1"/>
      <c r="E161" s="1"/>
    </row>
    <row r="162" spans="1:5" s="11" customFormat="1" ht="18" x14ac:dyDescent="0.25">
      <c r="A162" s="1"/>
      <c r="B162" s="1"/>
      <c r="C162" s="1"/>
      <c r="D162" s="1"/>
      <c r="E162" s="1"/>
    </row>
    <row r="163" spans="1:5" s="11" customFormat="1" ht="18" x14ac:dyDescent="0.25">
      <c r="A163" s="1"/>
      <c r="B163" s="1"/>
      <c r="C163" s="1"/>
      <c r="D163" s="1"/>
      <c r="E163" s="1"/>
    </row>
    <row r="164" spans="1:5" s="11" customFormat="1" ht="18" x14ac:dyDescent="0.25">
      <c r="A164" s="1"/>
      <c r="B164" s="1"/>
      <c r="C164" s="1"/>
      <c r="D164" s="1"/>
      <c r="E164" s="1"/>
    </row>
    <row r="165" spans="1:5" s="11" customFormat="1" ht="18" x14ac:dyDescent="0.25">
      <c r="A165" s="1"/>
      <c r="B165" s="1"/>
      <c r="C165" s="1"/>
      <c r="D165" s="1"/>
      <c r="E165" s="1"/>
    </row>
    <row r="166" spans="1:5" s="11" customFormat="1" ht="18" x14ac:dyDescent="0.25">
      <c r="A166" s="1"/>
      <c r="B166" s="1"/>
      <c r="C166" s="1"/>
      <c r="D166" s="1"/>
      <c r="E166" s="1"/>
    </row>
    <row r="167" spans="1:5" s="11" customFormat="1" ht="18" x14ac:dyDescent="0.25">
      <c r="A167" s="1"/>
      <c r="B167" s="1"/>
      <c r="C167" s="1"/>
      <c r="D167" s="1"/>
      <c r="E167" s="1"/>
    </row>
    <row r="168" spans="1:5" s="11" customFormat="1" ht="18" x14ac:dyDescent="0.25">
      <c r="A168" s="1"/>
      <c r="B168" s="1"/>
      <c r="C168" s="1"/>
      <c r="D168" s="1"/>
      <c r="E168" s="1"/>
    </row>
    <row r="169" spans="1:5" s="11" customFormat="1" ht="18" x14ac:dyDescent="0.25">
      <c r="A169" s="1"/>
      <c r="B169" s="1"/>
      <c r="C169" s="1"/>
      <c r="D169" s="1"/>
      <c r="E169" s="1"/>
    </row>
    <row r="170" spans="1:5" s="11" customFormat="1" ht="18" x14ac:dyDescent="0.25">
      <c r="A170" s="1"/>
      <c r="B170" s="1"/>
      <c r="C170" s="1"/>
      <c r="D170" s="1"/>
      <c r="E170" s="1"/>
    </row>
  </sheetData>
  <mergeCells count="27">
    <mergeCell ref="A143:D143"/>
    <mergeCell ref="A144:D144"/>
    <mergeCell ref="A15:C15"/>
    <mergeCell ref="A1:J1"/>
    <mergeCell ref="A2:J2"/>
    <mergeCell ref="A5:J5"/>
    <mergeCell ref="I8:J9"/>
    <mergeCell ref="G9:H9"/>
    <mergeCell ref="E21:F21"/>
    <mergeCell ref="G21:H21"/>
    <mergeCell ref="E22:F22"/>
    <mergeCell ref="G22:H22"/>
    <mergeCell ref="G10:H10"/>
    <mergeCell ref="G11:H11"/>
    <mergeCell ref="G12:H12"/>
    <mergeCell ref="G13:H13"/>
    <mergeCell ref="E23:F23"/>
    <mergeCell ref="G23:H23"/>
    <mergeCell ref="A36:D36"/>
    <mergeCell ref="A37:D37"/>
    <mergeCell ref="A43:D43"/>
    <mergeCell ref="A16:C16"/>
    <mergeCell ref="A44:D44"/>
    <mergeCell ref="A45:D45"/>
    <mergeCell ref="A46:D46"/>
    <mergeCell ref="A47:D47"/>
    <mergeCell ref="A20:B20"/>
  </mergeCells>
  <pageMargins left="0.51180555555555496" right="0.51180555555555496" top="0.59027777777777801" bottom="0.59027777777777801" header="0.51180555555555496" footer="0.51180555555555496"/>
  <pageSetup paperSize="9" scale="39" firstPageNumber="0" fitToHeight="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97"/>
  <sheetViews>
    <sheetView zoomScale="70" zoomScaleNormal="70" workbookViewId="0">
      <selection activeCell="E33" sqref="E33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customHeight="1" x14ac:dyDescent="0.25">
      <c r="A4" s="360" t="s">
        <v>84</v>
      </c>
      <c r="B4" s="361">
        <v>9</v>
      </c>
      <c r="E4" s="360" t="s">
        <v>85</v>
      </c>
      <c r="F4" s="83" t="s">
        <v>86</v>
      </c>
      <c r="G4" s="84">
        <v>13</v>
      </c>
    </row>
    <row r="5" spans="1:9" ht="18" customHeight="1" x14ac:dyDescent="0.25">
      <c r="A5" s="360"/>
      <c r="B5" s="361"/>
      <c r="C5" s="85" t="s">
        <v>87</v>
      </c>
      <c r="D5" s="86">
        <v>3</v>
      </c>
      <c r="E5" s="360"/>
      <c r="F5" s="87" t="s">
        <v>88</v>
      </c>
      <c r="G5" s="88">
        <v>13</v>
      </c>
    </row>
    <row r="6" spans="1:9" ht="18" customHeight="1" x14ac:dyDescent="0.25">
      <c r="A6" s="360"/>
      <c r="B6" s="361"/>
      <c r="C6" s="89"/>
      <c r="E6" s="360"/>
      <c r="F6" s="90" t="s">
        <v>89</v>
      </c>
      <c r="G6" s="91">
        <v>2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5.4653808121434446</v>
      </c>
      <c r="G12" s="369">
        <f>F12*D14</f>
        <v>619.77418409706661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113.4</v>
      </c>
      <c r="E14" s="371" t="s">
        <v>96</v>
      </c>
      <c r="F14" s="352">
        <f>G89</f>
        <v>4.2309330613615526</v>
      </c>
      <c r="G14" s="369">
        <f>F14*D14</f>
        <v>479.78780915840008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2268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3</v>
      </c>
      <c r="D26" s="119">
        <f>IF(D5&lt;3,100%,125%)</f>
        <v>1.25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0.13400000000000006</v>
      </c>
      <c r="E27" s="124">
        <f>SUMIF(D27,"&gt;=0",D27)+D26</f>
        <v>1.3840000000000001</v>
      </c>
      <c r="F27" s="125">
        <f>SUM(F19:F25)*E27</f>
        <v>3760.8691440000002</v>
      </c>
      <c r="G27" s="126">
        <f>SUM(G19:G25)*E27</f>
        <v>5961.9127751111109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0.22680000000000003</v>
      </c>
      <c r="E44" s="159" t="s">
        <v>119</v>
      </c>
      <c r="F44" s="160">
        <f>C44+(C44*D44)</f>
        <v>4907.2</v>
      </c>
      <c r="G44" s="161">
        <f>F44/12</f>
        <v>408.93333333333334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113.4</v>
      </c>
      <c r="D49" s="295">
        <v>7</v>
      </c>
      <c r="E49" s="304">
        <v>6.19</v>
      </c>
      <c r="F49" s="172">
        <f>(C49/D49)*E49</f>
        <v>100.27800000000001</v>
      </c>
      <c r="G49" s="173">
        <f>F49*D13</f>
        <v>2005.5600000000002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40.111200000000004</v>
      </c>
      <c r="G51" s="173">
        <f>F51*D13</f>
        <v>802.22400000000005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20055.600000000002</v>
      </c>
      <c r="F63" s="216">
        <f>E63/$D$12</f>
        <v>2005.5600000000002</v>
      </c>
      <c r="G63" s="217">
        <f>F63/$F$72</f>
        <v>0.16179763948395576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4.2455113505038083E-2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8022.2400000000016</v>
      </c>
      <c r="F65" s="216">
        <f>E65/$D$12</f>
        <v>802.22400000000016</v>
      </c>
      <c r="G65" s="217">
        <f>F65/$F$72</f>
        <v>6.4719055793582309E-2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4907.2</v>
      </c>
      <c r="F66" s="216">
        <f>G44</f>
        <v>408.93333333333334</v>
      </c>
      <c r="G66" s="217">
        <f>F66/$F$72</f>
        <v>3.299051040090497E-2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59619.127751111111</v>
      </c>
      <c r="F67" s="216">
        <f>E67/$D$12</f>
        <v>5961.9127751111109</v>
      </c>
      <c r="G67" s="217">
        <f>F67/$F$72</f>
        <v>0.48097459752997551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98919.187751111109</v>
      </c>
      <c r="F68" s="216">
        <f>SUM(F63:F67)</f>
        <v>9704.881775111111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19783.837550222222</v>
      </c>
      <c r="F69" s="216">
        <f>E69/$D$12</f>
        <v>1978.3837550222222</v>
      </c>
      <c r="G69" s="217">
        <f>F69/$F$72</f>
        <v>0.15960520829892905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7122.1815180799995</v>
      </c>
      <c r="F70" s="216">
        <f>E70/$D$12</f>
        <v>712.2181518079999</v>
      </c>
      <c r="G70" s="217">
        <f>F70/$F$72</f>
        <v>5.7457874987614448E-2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125825.20681941333</v>
      </c>
      <c r="F72" s="220">
        <f>F68+F69+F70</f>
        <v>12395.483681941332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5.4653808121434446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619.77418409706661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20055.600000000002</v>
      </c>
      <c r="F78" s="240">
        <f>E78/$D$12</f>
        <v>2005.5600000000002</v>
      </c>
      <c r="G78" s="241">
        <f>F78/$F$87</f>
        <v>0.20900489359222885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5.4842125687787818E-2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8022.2400000000016</v>
      </c>
      <c r="F80" s="240">
        <f>E80/$D$12</f>
        <v>802.22400000000016</v>
      </c>
      <c r="G80" s="241">
        <f>F80/$F$87</f>
        <v>8.3601957436891555E-2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4907.2</v>
      </c>
      <c r="F81" s="240">
        <f>F66</f>
        <v>408.93333333333334</v>
      </c>
      <c r="G81" s="241">
        <f>F81/$F$87</f>
        <v>4.2616061259522914E-2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37608.691440000002</v>
      </c>
      <c r="F82" s="240">
        <f>E82/$D$12</f>
        <v>3760.8691440000002</v>
      </c>
      <c r="G82" s="241">
        <f>F82/$F$87</f>
        <v>0.39193046094657691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76908.751439999993</v>
      </c>
      <c r="F83" s="244">
        <f>SUM(F78:F82)</f>
        <v>7503.8381440000012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15381.750287999999</v>
      </c>
      <c r="F84" s="244">
        <f>E84/D12</f>
        <v>1538.1750287999998</v>
      </c>
      <c r="G84" s="241">
        <f>F84/$F$87</f>
        <v>0.16029742726249402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5537.4301036799989</v>
      </c>
      <c r="F85" s="244">
        <f>E85/D12</f>
        <v>553.74301036799989</v>
      </c>
      <c r="G85" s="241">
        <f>F85/$F$87</f>
        <v>5.7707073814497835E-2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97827.931831679991</v>
      </c>
      <c r="F87" s="244">
        <f>F83+F84+F85</f>
        <v>9595.7561831680014</v>
      </c>
      <c r="G87" s="241">
        <f>SUM(G78:G85)</f>
        <v>0.99999999999999978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4.2309330613615526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479.78780915840008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97"/>
  <sheetViews>
    <sheetView zoomScale="70" zoomScaleNormal="70" workbookViewId="0">
      <selection activeCell="I14" sqref="I14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75">
        <v>10</v>
      </c>
      <c r="E4" s="360" t="s">
        <v>85</v>
      </c>
      <c r="F4" s="83" t="s">
        <v>86</v>
      </c>
      <c r="G4" s="84">
        <v>10</v>
      </c>
    </row>
    <row r="5" spans="1:9" ht="18" x14ac:dyDescent="0.25">
      <c r="A5" s="360"/>
      <c r="B5" s="375"/>
      <c r="C5" s="85" t="s">
        <v>87</v>
      </c>
      <c r="D5" s="86">
        <v>2</v>
      </c>
      <c r="E5" s="360"/>
      <c r="F5" s="87" t="s">
        <v>88</v>
      </c>
      <c r="G5" s="88">
        <v>8</v>
      </c>
    </row>
    <row r="6" spans="1:9" ht="18" x14ac:dyDescent="0.25">
      <c r="A6" s="360"/>
      <c r="B6" s="375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5.1778737362007163</v>
      </c>
      <c r="G12" s="369">
        <f>F12*D14</f>
        <v>481.54225746666663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93</v>
      </c>
      <c r="E14" s="371" t="s">
        <v>96</v>
      </c>
      <c r="F14" s="352">
        <f>G89</f>
        <v>4.0902799225806454</v>
      </c>
      <c r="G14" s="369">
        <f>F14*D14</f>
        <v>380.3960328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1860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2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-7.0000000000000007E-2</v>
      </c>
      <c r="E27" s="124">
        <f>SUMIF(D27,"&gt;=0",D27)+D26</f>
        <v>1</v>
      </c>
      <c r="F27" s="125">
        <f>SUM(F19:F25)*E27</f>
        <v>2717.3910000000001</v>
      </c>
      <c r="G27" s="126">
        <f>SUM(G19:G25)*E27</f>
        <v>4307.7404444444437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0.186</v>
      </c>
      <c r="E44" s="159" t="s">
        <v>119</v>
      </c>
      <c r="F44" s="160">
        <f>C44+(C44*D44)</f>
        <v>4744</v>
      </c>
      <c r="G44" s="161">
        <f>F44/12</f>
        <v>395.33333333333331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93</v>
      </c>
      <c r="D49" s="295">
        <v>7</v>
      </c>
      <c r="E49" s="304">
        <v>6.19</v>
      </c>
      <c r="F49" s="172">
        <f>(C49/D49)*E49</f>
        <v>82.238571428571433</v>
      </c>
      <c r="G49" s="173">
        <f>F49*D13</f>
        <v>1644.7714285714287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32.895428571428575</v>
      </c>
      <c r="G51" s="173">
        <f>F51*D13</f>
        <v>657.90857142857146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16447.714285714286</v>
      </c>
      <c r="F63" s="216">
        <f>E63/$D$12</f>
        <v>1644.7714285714287</v>
      </c>
      <c r="G63" s="217">
        <f>F63/$F$72</f>
        <v>0.17078162955255108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5.4642314200545002E-2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6579.0857142857149</v>
      </c>
      <c r="F65" s="216">
        <f>E65/$D$12</f>
        <v>657.90857142857146</v>
      </c>
      <c r="G65" s="217">
        <f>F65/$F$72</f>
        <v>6.8312651821020434E-2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4744</v>
      </c>
      <c r="F66" s="216">
        <f>G44</f>
        <v>395.33333333333331</v>
      </c>
      <c r="G66" s="217">
        <f>F66/$F$72</f>
        <v>4.1048664702152245E-2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43077.404444444437</v>
      </c>
      <c r="F67" s="216">
        <f>E67/$D$12</f>
        <v>4307.7404444444437</v>
      </c>
      <c r="G67" s="217">
        <f>F67/$F$72</f>
        <v>0.44728581735556561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77163.224444444437</v>
      </c>
      <c r="F68" s="216">
        <f>SUM(F63:F67)</f>
        <v>7532.005444444444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15432.644888888888</v>
      </c>
      <c r="F69" s="216">
        <f>E69/$D$12</f>
        <v>1543.2644888888888</v>
      </c>
      <c r="G69" s="217">
        <f>F69/$F$72</f>
        <v>0.16024185468247476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5555.7521599999991</v>
      </c>
      <c r="F70" s="216">
        <f>E70/$D$12</f>
        <v>555.57521599999995</v>
      </c>
      <c r="G70" s="217">
        <f>F70/$F$72</f>
        <v>5.7687067685690915E-2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98151.621493333325</v>
      </c>
      <c r="F72" s="220">
        <f>F68+F69+F70</f>
        <v>9630.8451493333323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5.1778737362007163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481.54225746666663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16447.714285714286</v>
      </c>
      <c r="F78" s="240">
        <f>E78/$D$12</f>
        <v>1644.7714285714287</v>
      </c>
      <c r="G78" s="241">
        <f>F78/$F$87</f>
        <v>0.21619197977232804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6.917155034360635E-2</v>
      </c>
    </row>
    <row r="80" spans="1:8" ht="18" x14ac:dyDescent="0.25">
      <c r="A80" s="331" t="s">
        <v>136</v>
      </c>
      <c r="B80" s="331"/>
      <c r="C80" s="331"/>
      <c r="D80" s="331"/>
      <c r="E80" s="239">
        <f>E78*PARÂMETROS!D15</f>
        <v>6579.0857142857149</v>
      </c>
      <c r="F80" s="240">
        <f>E80/$D$12</f>
        <v>657.90857142857146</v>
      </c>
      <c r="G80" s="241">
        <f>F80/$F$87</f>
        <v>8.6476791908931219E-2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4744</v>
      </c>
      <c r="F81" s="240">
        <f>F66</f>
        <v>395.33333333333331</v>
      </c>
      <c r="G81" s="241">
        <f>F81/$F$87</f>
        <v>5.1963388054205452E-2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27173.91</v>
      </c>
      <c r="F82" s="240">
        <f>E82/$D$12</f>
        <v>2717.3910000000001</v>
      </c>
      <c r="G82" s="241">
        <f>F82/$F$87</f>
        <v>0.3571791982158653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61259.729999999996</v>
      </c>
      <c r="F83" s="244">
        <f>SUM(F78:F82)</f>
        <v>5941.6560000000009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12251.946</v>
      </c>
      <c r="F84" s="244">
        <f>E84/D12</f>
        <v>1225.1946</v>
      </c>
      <c r="G84" s="241">
        <f>F84/$F$87</f>
        <v>0.16104197919489974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4410.7005599999993</v>
      </c>
      <c r="F85" s="244">
        <f>E85/D12</f>
        <v>441.07005599999991</v>
      </c>
      <c r="G85" s="241">
        <f>F85/$F$87</f>
        <v>5.7975112510163893E-2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77922.37655999999</v>
      </c>
      <c r="F87" s="244">
        <f>F83+F84+F85</f>
        <v>7607.9206560000002</v>
      </c>
      <c r="G87" s="241">
        <f>SUM(G78:G85)</f>
        <v>1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4.0902799225806454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380.3960328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7"/>
  <sheetViews>
    <sheetView zoomScale="70" zoomScaleNormal="70" workbookViewId="0">
      <selection activeCell="E10" sqref="E10:G10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75">
        <v>11</v>
      </c>
      <c r="E4" s="360" t="s">
        <v>85</v>
      </c>
      <c r="F4" s="83" t="s">
        <v>86</v>
      </c>
      <c r="G4" s="84">
        <v>10</v>
      </c>
    </row>
    <row r="5" spans="1:9" ht="18" x14ac:dyDescent="0.25">
      <c r="A5" s="360"/>
      <c r="B5" s="375"/>
      <c r="C5" s="85" t="s">
        <v>87</v>
      </c>
      <c r="D5" s="86">
        <v>3</v>
      </c>
      <c r="E5" s="360"/>
      <c r="F5" s="87" t="s">
        <v>88</v>
      </c>
      <c r="G5" s="88">
        <v>18</v>
      </c>
    </row>
    <row r="6" spans="1:9" ht="18" x14ac:dyDescent="0.25">
      <c r="A6" s="360"/>
      <c r="B6" s="375"/>
      <c r="C6" s="89"/>
      <c r="E6" s="360"/>
      <c r="F6" s="90" t="s">
        <v>89</v>
      </c>
      <c r="G6" s="91">
        <v>10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21</v>
      </c>
      <c r="G9" s="303">
        <v>150000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9.0103321234969798</v>
      </c>
      <c r="G12" s="369">
        <f>F12*D14</f>
        <v>1089.3491537307848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120.9</v>
      </c>
      <c r="E14" s="371" t="s">
        <v>96</v>
      </c>
      <c r="F14" s="352">
        <f>G89</f>
        <v>7.5118137383161692</v>
      </c>
      <c r="G14" s="369">
        <f>F14*D14</f>
        <v>908.17828096242488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2418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PARÂMETROS!C21</f>
        <v>3767.43</v>
      </c>
      <c r="G19" s="112">
        <f>PARÂMETROS!C21</f>
        <v>3767.43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414.41730000000001</v>
      </c>
      <c r="G20" s="112">
        <f>G19*C20</f>
        <v>414.41730000000001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301.39440000000002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313.95249999999999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104.65083333333332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313.95249999999999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3</v>
      </c>
      <c r="D26" s="119">
        <f>IF(D5&lt;3,100%,125%)</f>
        <v>1.25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0.20900000000000005</v>
      </c>
      <c r="E27" s="124">
        <f>SUMIF(D27,"&gt;=0",D27)+D26</f>
        <v>1.4590000000000001</v>
      </c>
      <c r="F27" s="125">
        <f>SUM(F19:F25)*E27</f>
        <v>6101.3152106999996</v>
      </c>
      <c r="G27" s="126">
        <f>SUM(G19:G25)*E27</f>
        <v>8949.9138391333345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7500</v>
      </c>
      <c r="D44" s="158">
        <f>D14*0.2%</f>
        <v>0.24180000000000001</v>
      </c>
      <c r="E44" s="159" t="s">
        <v>119</v>
      </c>
      <c r="F44" s="160">
        <f>C44+(C44*D44)</f>
        <v>9313.5</v>
      </c>
      <c r="G44" s="161">
        <f>F44/12</f>
        <v>776.125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5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5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129</v>
      </c>
      <c r="B49" s="337"/>
      <c r="C49" s="171">
        <f>D14</f>
        <v>120.9</v>
      </c>
      <c r="D49" s="295">
        <v>3.5</v>
      </c>
      <c r="E49" s="304">
        <v>6.17</v>
      </c>
      <c r="F49" s="172">
        <f>(C49/D49)*E49</f>
        <v>213.12942857142858</v>
      </c>
      <c r="G49" s="173">
        <f>F49*D13</f>
        <v>4262.5885714285714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39"/>
      <c r="C51" s="339"/>
      <c r="D51" s="296">
        <v>0.6</v>
      </c>
      <c r="E51" s="177"/>
      <c r="F51" s="178">
        <f>F49*D51</f>
        <v>127.87765714285715</v>
      </c>
      <c r="G51" s="173">
        <f>F51*D13</f>
        <v>2557.553142857143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42625.885714285716</v>
      </c>
      <c r="F63" s="216">
        <f>E63/$D$12</f>
        <v>4262.5885714285714</v>
      </c>
      <c r="G63" s="217">
        <f>F63/$F$72</f>
        <v>0.19564840881503093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2.4154407467264681E-2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25575.53142857143</v>
      </c>
      <c r="F65" s="216">
        <f>E65/$D$12</f>
        <v>2557.553142857143</v>
      </c>
      <c r="G65" s="217">
        <f>F65/$F$72</f>
        <v>0.11738904528901856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9313.5</v>
      </c>
      <c r="F66" s="216">
        <f>G44</f>
        <v>776.125</v>
      </c>
      <c r="G66" s="217">
        <f>F66/$F$72</f>
        <v>3.562333515117444E-2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89499.138391333341</v>
      </c>
      <c r="F67" s="216">
        <f>E67/$D$12</f>
        <v>8949.9138391333345</v>
      </c>
      <c r="G67" s="217">
        <f>F67/$F$72</f>
        <v>0.41079179290137685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173329.07553419049</v>
      </c>
      <c r="F68" s="216">
        <f>SUM(F63:F67)</f>
        <v>17072.432220085717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34665.815106838098</v>
      </c>
      <c r="F69" s="216">
        <f>E69/$D$12</f>
        <v>3466.5815106838099</v>
      </c>
      <c r="G69" s="217">
        <f>F69/$F$72</f>
        <v>0.15911250762951065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12479.693438461714</v>
      </c>
      <c r="F70" s="216">
        <f>E70/$D$12</f>
        <v>1247.9693438461713</v>
      </c>
      <c r="G70" s="217">
        <f>F70/$F$72</f>
        <v>5.7280502746623829E-2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220474.58407949031</v>
      </c>
      <c r="F72" s="220">
        <f>F68+F69+F70</f>
        <v>21786.983074615699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9.0103321234969798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1089.3491537307848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42625.885714285716</v>
      </c>
      <c r="F78" s="240">
        <f>E78/$D$12</f>
        <v>4262.5885714285714</v>
      </c>
      <c r="G78" s="241">
        <f>F78/$F$87</f>
        <v>0.2346779625092649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2.897292732595308E-2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25575.53142857143</v>
      </c>
      <c r="F80" s="240">
        <f>E80/$D$12</f>
        <v>2557.553142857143</v>
      </c>
      <c r="G80" s="241">
        <f>F80/$F$87</f>
        <v>0.14080677750555895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9313.5</v>
      </c>
      <c r="F81" s="240">
        <f>F66</f>
        <v>776.125</v>
      </c>
      <c r="G81" s="241">
        <f>F81/$F$87</f>
        <v>4.27297710300623E-2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61013.152106999994</v>
      </c>
      <c r="F82" s="240">
        <f>E82/$D$12</f>
        <v>6101.3152106999996</v>
      </c>
      <c r="G82" s="241">
        <f>F82/$F$87</f>
        <v>0.33590955314601034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144843.08924985715</v>
      </c>
      <c r="F83" s="244">
        <f>SUM(F78:F82)</f>
        <v>14223.833591652381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28968.61784997143</v>
      </c>
      <c r="F84" s="244">
        <f>E84/D12</f>
        <v>2896.8617849971429</v>
      </c>
      <c r="G84" s="241">
        <f>F84/$F$87</f>
        <v>0.15948750623761054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10428.702425989713</v>
      </c>
      <c r="F85" s="244">
        <f>E85/D12</f>
        <v>1042.8702425989713</v>
      </c>
      <c r="G85" s="241">
        <f>F85/$F$87</f>
        <v>5.741550224553979E-2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184240.40952581828</v>
      </c>
      <c r="F87" s="244">
        <f>F83+F84+F85</f>
        <v>18163.565619248497</v>
      </c>
      <c r="G87" s="241">
        <f>SUM(G78:G85)</f>
        <v>0.99999999999999989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7.5118137383161692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908.17828096242488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97"/>
  <sheetViews>
    <sheetView zoomScale="70" zoomScaleNormal="70" workbookViewId="0">
      <selection activeCell="E38" sqref="E38"/>
    </sheetView>
  </sheetViews>
  <sheetFormatPr defaultColWidth="26" defaultRowHeight="15" x14ac:dyDescent="0.25"/>
  <sheetData>
    <row r="1" spans="1:10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10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10" ht="18" x14ac:dyDescent="0.25">
      <c r="A4" s="360" t="s">
        <v>84</v>
      </c>
      <c r="B4" s="375">
        <v>12</v>
      </c>
      <c r="E4" s="360" t="s">
        <v>85</v>
      </c>
      <c r="F4" s="83" t="s">
        <v>86</v>
      </c>
      <c r="G4" s="84">
        <v>8</v>
      </c>
    </row>
    <row r="5" spans="1:10" ht="18" x14ac:dyDescent="0.25">
      <c r="A5" s="360"/>
      <c r="B5" s="375"/>
      <c r="C5" s="85" t="s">
        <v>87</v>
      </c>
      <c r="D5" s="86">
        <v>3</v>
      </c>
      <c r="E5" s="360"/>
      <c r="F5" s="87" t="s">
        <v>88</v>
      </c>
      <c r="G5" s="88">
        <v>12</v>
      </c>
    </row>
    <row r="6" spans="1:10" ht="18" x14ac:dyDescent="0.25">
      <c r="A6" s="360"/>
      <c r="B6" s="375"/>
      <c r="C6" s="89"/>
      <c r="E6" s="360"/>
      <c r="F6" s="90" t="s">
        <v>89</v>
      </c>
      <c r="G6" s="91">
        <v>7</v>
      </c>
    </row>
    <row r="7" spans="1:10" ht="18" x14ac:dyDescent="0.25">
      <c r="A7" s="89"/>
      <c r="B7" s="89"/>
      <c r="C7" s="89"/>
      <c r="D7" s="89"/>
      <c r="E7" s="89"/>
      <c r="F7" s="89"/>
      <c r="G7" s="89"/>
    </row>
    <row r="8" spans="1:10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10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10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10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10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5.4732437503753699</v>
      </c>
      <c r="G12" s="369">
        <f>F12*D14</f>
        <v>616.28724629226667</v>
      </c>
      <c r="H12" s="96"/>
      <c r="I12" s="98"/>
    </row>
    <row r="13" spans="1:10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  <c r="J13" s="98"/>
    </row>
    <row r="14" spans="1:10" ht="18" customHeight="1" x14ac:dyDescent="0.25">
      <c r="A14" s="365" t="s">
        <v>95</v>
      </c>
      <c r="B14" s="365"/>
      <c r="C14" s="365"/>
      <c r="D14" s="99">
        <v>112.6</v>
      </c>
      <c r="E14" s="371" t="s">
        <v>96</v>
      </c>
      <c r="F14" s="352">
        <f>G89</f>
        <v>4.2372117331343988</v>
      </c>
      <c r="G14" s="369">
        <f>F14*D14</f>
        <v>477.11004115093328</v>
      </c>
      <c r="H14" s="96"/>
      <c r="J14" s="98"/>
    </row>
    <row r="15" spans="1:10" ht="18" customHeight="1" x14ac:dyDescent="0.25">
      <c r="A15" s="354" t="s">
        <v>97</v>
      </c>
      <c r="B15" s="354"/>
      <c r="C15" s="354"/>
      <c r="D15" s="100">
        <f>D14*D13</f>
        <v>2252</v>
      </c>
      <c r="E15" s="372"/>
      <c r="F15" s="353"/>
      <c r="G15" s="370"/>
      <c r="H15" s="96"/>
    </row>
    <row r="16" spans="1:10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3</v>
      </c>
      <c r="D26" s="119">
        <f>IF(D5&lt;3,100%,125%)</f>
        <v>1.25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0.12599999999999995</v>
      </c>
      <c r="E27" s="124">
        <f>SUMIF(D27,"&gt;=0",D27)+D26</f>
        <v>1.3759999999999999</v>
      </c>
      <c r="F27" s="125">
        <f>SUM(F19:F25)*E27</f>
        <v>3739.1300159999996</v>
      </c>
      <c r="G27" s="126">
        <f>SUM(G19:G25)*E27</f>
        <v>5927.4508515555544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0.22519999999999998</v>
      </c>
      <c r="E44" s="159" t="s">
        <v>119</v>
      </c>
      <c r="F44" s="160">
        <f>C44+(C44*D44)</f>
        <v>4900.8</v>
      </c>
      <c r="G44" s="161">
        <f>F44/12</f>
        <v>408.40000000000003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112.6</v>
      </c>
      <c r="D49" s="295">
        <v>7</v>
      </c>
      <c r="E49" s="304">
        <v>6.19</v>
      </c>
      <c r="F49" s="172">
        <f>(C49/D49)*E49</f>
        <v>99.570571428571427</v>
      </c>
      <c r="G49" s="173">
        <f>F49*D13</f>
        <v>1991.4114285714286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39.828228571428575</v>
      </c>
      <c r="G51" s="173">
        <f>F51*D13</f>
        <v>796.56457142857153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19914.114285714284</v>
      </c>
      <c r="F63" s="216">
        <f>E63/$D$12</f>
        <v>1991.4114285714284</v>
      </c>
      <c r="G63" s="217">
        <f>F63/$F$72</f>
        <v>0.16156519874070427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4.2695323473974527E-2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7965.6457142857143</v>
      </c>
      <c r="F65" s="216">
        <f>E65/$D$12</f>
        <v>796.56457142857141</v>
      </c>
      <c r="G65" s="217">
        <f>F65/$F$72</f>
        <v>6.4626079496281713E-2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4900.8</v>
      </c>
      <c r="F66" s="216">
        <f>G44</f>
        <v>408.40000000000003</v>
      </c>
      <c r="G66" s="217">
        <f>F66/$F$72</f>
        <v>3.3133900016350602E-2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59274.508515555543</v>
      </c>
      <c r="F67" s="216">
        <f>E67/$D$12</f>
        <v>5927.4508515555544</v>
      </c>
      <c r="G67" s="217">
        <f>F67/$F$72</f>
        <v>0.48090000946932904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98370.088515555544</v>
      </c>
      <c r="F68" s="216">
        <f>SUM(F63:F67)</f>
        <v>9650.0785182222207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19674.017703111109</v>
      </c>
      <c r="F69" s="216">
        <f>E69/$D$12</f>
        <v>1967.4017703111108</v>
      </c>
      <c r="G69" s="217">
        <f>F69/$F$72</f>
        <v>0.15961727117894103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7082.6463731199992</v>
      </c>
      <c r="F70" s="216">
        <f>E70/$D$12</f>
        <v>708.26463731199988</v>
      </c>
      <c r="G70" s="217">
        <f>F70/$F$72</f>
        <v>5.746221762441877E-2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125126.75259178666</v>
      </c>
      <c r="F72" s="220">
        <f>F68+F69+F70</f>
        <v>12325.744925845333</v>
      </c>
      <c r="G72" s="217">
        <f>SUM(G63:G70)</f>
        <v>0.99999999999999989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5.4732437503753699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616.28724629226667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19914.114285714284</v>
      </c>
      <c r="F78" s="240">
        <f>E78/$D$12</f>
        <v>1991.4114285714284</v>
      </c>
      <c r="G78" s="241">
        <f>F78/$F$87</f>
        <v>0.20869519155031233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5.5149925727531218E-2</v>
      </c>
    </row>
    <row r="80" spans="1:8" ht="18" x14ac:dyDescent="0.25">
      <c r="A80" s="331" t="s">
        <v>136</v>
      </c>
      <c r="B80" s="331"/>
      <c r="C80" s="331"/>
      <c r="D80" s="331"/>
      <c r="E80" s="239">
        <f>E78*PARÂMETROS!D15</f>
        <v>7965.6457142857143</v>
      </c>
      <c r="F80" s="240">
        <f>E80/$D$12</f>
        <v>796.56457142857141</v>
      </c>
      <c r="G80" s="241">
        <f>F80/$F$87</f>
        <v>8.3478076620124936E-2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4900.8</v>
      </c>
      <c r="F81" s="240">
        <f>F66</f>
        <v>408.40000000000003</v>
      </c>
      <c r="G81" s="241">
        <f>F81/$F$87</f>
        <v>4.2799350755102127E-2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37391.300159999999</v>
      </c>
      <c r="F82" s="240">
        <f>E82/$D$12</f>
        <v>3739.1300160000001</v>
      </c>
      <c r="G82" s="241">
        <f>F82/$F$87</f>
        <v>0.39185195169861559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76486.880160000001</v>
      </c>
      <c r="F83" s="244">
        <f>SUM(F78:F82)</f>
        <v>7461.7576826666664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15297.376032</v>
      </c>
      <c r="F84" s="244">
        <f>E84/D12</f>
        <v>1529.7376032</v>
      </c>
      <c r="G84" s="241">
        <f>F84/$F$87</f>
        <v>0.16031287032964256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5507.0553715199994</v>
      </c>
      <c r="F85" s="244">
        <f>E85/D12</f>
        <v>550.70553715199992</v>
      </c>
      <c r="G85" s="241">
        <f>F85/$F$87</f>
        <v>5.7712633318671318E-2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97291.311563519994</v>
      </c>
      <c r="F87" s="244">
        <f>F83+F84+F85</f>
        <v>9542.2008230186657</v>
      </c>
      <c r="G87" s="241">
        <f>SUM(G78:G85)</f>
        <v>1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4.2372117331343988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477.11004115093328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97"/>
  <sheetViews>
    <sheetView zoomScale="70" zoomScaleNormal="70" workbookViewId="0">
      <selection activeCell="F12" sqref="F12:F15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75">
        <v>13</v>
      </c>
      <c r="E4" s="360" t="s">
        <v>85</v>
      </c>
      <c r="F4" s="83" t="s">
        <v>86</v>
      </c>
      <c r="G4" s="84">
        <v>11</v>
      </c>
    </row>
    <row r="5" spans="1:9" ht="18" x14ac:dyDescent="0.25">
      <c r="A5" s="360"/>
      <c r="B5" s="375"/>
      <c r="C5" s="85" t="s">
        <v>87</v>
      </c>
      <c r="D5" s="86">
        <v>1</v>
      </c>
      <c r="E5" s="360"/>
      <c r="F5" s="87" t="s">
        <v>88</v>
      </c>
      <c r="G5" s="88">
        <v>0</v>
      </c>
    </row>
    <row r="6" spans="1:9" ht="18" x14ac:dyDescent="0.25">
      <c r="A6" s="360"/>
      <c r="B6" s="375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6.0676048369175621</v>
      </c>
      <c r="G12" s="369">
        <f>F12*D14</f>
        <v>451.42979986666666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74.400000000000006</v>
      </c>
      <c r="E14" s="371" t="s">
        <v>96</v>
      </c>
      <c r="F14" s="352">
        <f>G89</f>
        <v>4.7081125698924735</v>
      </c>
      <c r="G14" s="369">
        <f>F14*D14</f>
        <v>350.28357520000003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1488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1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-0.25599999999999995</v>
      </c>
      <c r="E27" s="124">
        <f>SUMIF(D27,"&gt;=0",D27)+D26</f>
        <v>1</v>
      </c>
      <c r="F27" s="125">
        <f>SUM(F19:F25)*E27</f>
        <v>2717.3910000000001</v>
      </c>
      <c r="G27" s="126">
        <f>SUM(G19:G25)*E27</f>
        <v>4307.7404444444437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0.14880000000000002</v>
      </c>
      <c r="E44" s="159" t="s">
        <v>119</v>
      </c>
      <c r="F44" s="160">
        <f>C44+(C44*D44)</f>
        <v>4595.2</v>
      </c>
      <c r="G44" s="161">
        <f>F44/12</f>
        <v>382.93333333333334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5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5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7"/>
      <c r="C49" s="171">
        <f>D14</f>
        <v>74.400000000000006</v>
      </c>
      <c r="D49" s="295">
        <v>7</v>
      </c>
      <c r="E49" s="304">
        <v>6.19</v>
      </c>
      <c r="F49" s="172">
        <f>(C49/D49)*E49</f>
        <v>65.790857142857149</v>
      </c>
      <c r="G49" s="173">
        <f>F49*D13</f>
        <v>1315.8171428571429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39"/>
      <c r="C51" s="339"/>
      <c r="D51" s="296">
        <v>0.4</v>
      </c>
      <c r="E51" s="177"/>
      <c r="F51" s="178">
        <f>F49*D51</f>
        <v>26.31634285714286</v>
      </c>
      <c r="G51" s="173">
        <f>F51*D13</f>
        <v>526.32685714285719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13158.17142857143</v>
      </c>
      <c r="F63" s="216">
        <f>E63/$D$12</f>
        <v>1315.8171428571429</v>
      </c>
      <c r="G63" s="217">
        <f>F63/$F$72</f>
        <v>0.14573884391834346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5.82872095309281E-2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5263.2685714285726</v>
      </c>
      <c r="F65" s="216">
        <f>E65/$D$12</f>
        <v>526.32685714285731</v>
      </c>
      <c r="G65" s="217">
        <f>F65/$F$72</f>
        <v>5.8295537567337394E-2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4595.2</v>
      </c>
      <c r="F66" s="216">
        <f>G44</f>
        <v>382.93333333333334</v>
      </c>
      <c r="G66" s="217">
        <f>F66/$F$72</f>
        <v>4.2413386693394603E-2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43077.404444444437</v>
      </c>
      <c r="F67" s="216">
        <f>E67/$D$12</f>
        <v>4307.7404444444437</v>
      </c>
      <c r="G67" s="217">
        <f>F67/$F$72</f>
        <v>0.47712185213700659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72409.064444444433</v>
      </c>
      <c r="F68" s="216">
        <f>SUM(F63:F67)</f>
        <v>7059.0694444444443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14481.812888888888</v>
      </c>
      <c r="F69" s="216">
        <f>E69/$D$12</f>
        <v>1448.1812888888887</v>
      </c>
      <c r="G69" s="217">
        <f>F69/$F$72</f>
        <v>0.16039938981837493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5213.4526399999995</v>
      </c>
      <c r="F70" s="216">
        <f>E70/$D$12</f>
        <v>521.34526399999993</v>
      </c>
      <c r="G70" s="217">
        <f>F70/$F$72</f>
        <v>5.7743780334614976E-2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92104.329973333326</v>
      </c>
      <c r="F72" s="220">
        <f>F68+F69+F70</f>
        <v>9028.595997333332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6.0676048369175621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451.42979986666666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13158.17142857143</v>
      </c>
      <c r="F78" s="240">
        <f>E78/$D$12</f>
        <v>1315.8171428571429</v>
      </c>
      <c r="G78" s="241">
        <f>F78/$F$87</f>
        <v>0.18782170161787573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7.5117947846426253E-2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5263.2685714285726</v>
      </c>
      <c r="F80" s="240">
        <f>E80/$D$12</f>
        <v>526.32685714285731</v>
      </c>
      <c r="G80" s="241">
        <f>F80/$F$87</f>
        <v>7.5128680647150309E-2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4595.2</v>
      </c>
      <c r="F81" s="240">
        <f>F66</f>
        <v>382.93333333333334</v>
      </c>
      <c r="G81" s="241">
        <f>F81/$F$87</f>
        <v>5.4660475175676078E-2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27173.91</v>
      </c>
      <c r="F82" s="240">
        <f>E82/$D$12</f>
        <v>2717.3910000000001</v>
      </c>
      <c r="G82" s="241">
        <f>F82/$F$87</f>
        <v>0.38788444454588855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56505.570000000007</v>
      </c>
      <c r="F83" s="244">
        <f>SUM(F78:F82)</f>
        <v>5468.7200000000012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11301.114000000001</v>
      </c>
      <c r="F84" s="244">
        <f>E84/D12</f>
        <v>1130.1114000000002</v>
      </c>
      <c r="G84" s="241">
        <f>F84/$F$87</f>
        <v>0.16131378688748751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4068.4010400000002</v>
      </c>
      <c r="F85" s="244">
        <f>E85/D12</f>
        <v>406.840104</v>
      </c>
      <c r="G85" s="241">
        <f>F85/$F$87</f>
        <v>5.8072963279495494E-2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71875.085040000005</v>
      </c>
      <c r="F87" s="244">
        <f>F83+F84+F85</f>
        <v>7005.6715040000008</v>
      </c>
      <c r="G87" s="241">
        <f>SUM(G78:G85)</f>
        <v>1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4.7081125698924735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350.28357520000003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97"/>
  <sheetViews>
    <sheetView zoomScale="70" zoomScaleNormal="70" workbookViewId="0">
      <selection activeCell="D14" sqref="D14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75">
        <v>14</v>
      </c>
      <c r="E4" s="360" t="s">
        <v>85</v>
      </c>
      <c r="F4" s="83" t="s">
        <v>86</v>
      </c>
      <c r="G4" s="84">
        <v>14</v>
      </c>
    </row>
    <row r="5" spans="1:9" ht="18" x14ac:dyDescent="0.25">
      <c r="A5" s="360"/>
      <c r="B5" s="375"/>
      <c r="C5" s="85" t="s">
        <v>87</v>
      </c>
      <c r="D5" s="86">
        <v>1</v>
      </c>
      <c r="E5" s="360"/>
      <c r="F5" s="87" t="s">
        <v>88</v>
      </c>
      <c r="G5" s="88">
        <v>0</v>
      </c>
    </row>
    <row r="6" spans="1:9" ht="18" x14ac:dyDescent="0.25">
      <c r="A6" s="360"/>
      <c r="B6" s="375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16</v>
      </c>
      <c r="G9" s="303">
        <v>120000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10.532019655813952</v>
      </c>
      <c r="G12" s="369">
        <f>F12*D14</f>
        <v>452.87684519999993</v>
      </c>
      <c r="H12" s="96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43</v>
      </c>
      <c r="E14" s="371" t="s">
        <v>96</v>
      </c>
      <c r="F14" s="352">
        <f>G89</f>
        <v>7.8658522728682181</v>
      </c>
      <c r="G14" s="369">
        <f>F14*D14</f>
        <v>338.23164773333338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860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1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-0.56999999999999995</v>
      </c>
      <c r="E27" s="124">
        <f>SUMIF(D27,"&gt;=0",D27)+D26</f>
        <v>1</v>
      </c>
      <c r="F27" s="125">
        <f>SUM(F19:F25)*E27</f>
        <v>2717.3910000000001</v>
      </c>
      <c r="G27" s="126">
        <f>SUM(G19:G25)*E27</f>
        <v>4307.7404444444437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6000</v>
      </c>
      <c r="D44" s="158">
        <f>D14*0.2%</f>
        <v>8.6000000000000007E-2</v>
      </c>
      <c r="E44" s="159" t="s">
        <v>119</v>
      </c>
      <c r="F44" s="160">
        <f>C44+(C44*D44)</f>
        <v>6516</v>
      </c>
      <c r="G44" s="161">
        <f>F44/12</f>
        <v>543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14</v>
      </c>
      <c r="B49" s="338"/>
      <c r="C49" s="171">
        <f>D14</f>
        <v>43</v>
      </c>
      <c r="D49" s="295">
        <v>5</v>
      </c>
      <c r="E49" s="304">
        <v>6.17</v>
      </c>
      <c r="F49" s="172">
        <f>(C49/D49)*E49</f>
        <v>53.061999999999998</v>
      </c>
      <c r="G49" s="173">
        <f>F49*D13</f>
        <v>1061.24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0.6</v>
      </c>
      <c r="E51" s="177"/>
      <c r="F51" s="178">
        <f>F49*D51</f>
        <v>31.837199999999996</v>
      </c>
      <c r="G51" s="173">
        <f>F51*D13</f>
        <v>636.74399999999991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10612.4</v>
      </c>
      <c r="F63" s="216">
        <f>E63/$D$12</f>
        <v>1061.24</v>
      </c>
      <c r="G63" s="217">
        <f>F63/$F$72</f>
        <v>0.11716651129859974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5.8100968535304873E-2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6367.44</v>
      </c>
      <c r="F65" s="216">
        <f>E65/$D$12</f>
        <v>636.74399999999991</v>
      </c>
      <c r="G65" s="217">
        <f>F65/$F$72</f>
        <v>7.0299906779159843E-2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6516</v>
      </c>
      <c r="F66" s="216">
        <f>G44</f>
        <v>543</v>
      </c>
      <c r="G66" s="217">
        <f>F66/$F$72</f>
        <v>5.9950073155120104E-2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43077.404444444437</v>
      </c>
      <c r="F67" s="216">
        <f>E67/$D$12</f>
        <v>4307.7404444444437</v>
      </c>
      <c r="G67" s="217">
        <f>F67/$F$72</f>
        <v>0.47559733844882873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72888.26444444443</v>
      </c>
      <c r="F68" s="216">
        <f>SUM(F63:F67)</f>
        <v>7074.9761111111102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14577.652888888886</v>
      </c>
      <c r="F69" s="216">
        <f>E69/$D$12</f>
        <v>1457.7652888888886</v>
      </c>
      <c r="G69" s="217">
        <f>F69/$F$72</f>
        <v>0.16094500131101963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5247.9550399999989</v>
      </c>
      <c r="F70" s="216">
        <f>E70/$D$12</f>
        <v>524.79550399999994</v>
      </c>
      <c r="G70" s="217">
        <f>F70/$F$72</f>
        <v>5.7940200471967074E-2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92713.872373333317</v>
      </c>
      <c r="F72" s="220">
        <f>F68+F69+F70</f>
        <v>9057.5369039999987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10.532019655813952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452.87684519999993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10612.4</v>
      </c>
      <c r="F78" s="240">
        <f>E78/$D$12</f>
        <v>1061.24</v>
      </c>
      <c r="G78" s="241">
        <f>F78/$F$87</f>
        <v>0.15688064779152433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7.7794563310877834E-2</v>
      </c>
    </row>
    <row r="80" spans="1:8" ht="18" x14ac:dyDescent="0.25">
      <c r="A80" s="331" t="s">
        <v>136</v>
      </c>
      <c r="B80" s="331"/>
      <c r="C80" s="331"/>
      <c r="D80" s="331"/>
      <c r="E80" s="239">
        <f>E78*PARÂMETROS!D15</f>
        <v>4244.96</v>
      </c>
      <c r="F80" s="240">
        <f>E80/$D$12</f>
        <v>424.49599999999998</v>
      </c>
      <c r="G80" s="241">
        <f>F80/$F$87</f>
        <v>6.2752259116609727E-2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6516</v>
      </c>
      <c r="F81" s="240">
        <f>F66</f>
        <v>543</v>
      </c>
      <c r="G81" s="241">
        <f>F81/$F$87</f>
        <v>8.0270430581958568E-2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27173.91</v>
      </c>
      <c r="F82" s="240">
        <f>E82/$D$12</f>
        <v>2717.3910000000001</v>
      </c>
      <c r="G82" s="241">
        <f>F82/$F$87</f>
        <v>0.40170560889417861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54862.289999999994</v>
      </c>
      <c r="F83" s="244">
        <f>SUM(F78:F82)</f>
        <v>5272.3786666666674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10972.457999999999</v>
      </c>
      <c r="F84" s="244">
        <f>E84/D12</f>
        <v>1097.2457999999999</v>
      </c>
      <c r="G84" s="241">
        <f>F84/$F$87</f>
        <v>0.16220330169474326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3950.0848799999994</v>
      </c>
      <c r="F85" s="244">
        <f>E85/D12</f>
        <v>395.00848799999994</v>
      </c>
      <c r="G85" s="241">
        <f>F85/$F$87</f>
        <v>5.8393188610107567E-2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69784.832879999987</v>
      </c>
      <c r="F87" s="244">
        <f>F83+F84+F85</f>
        <v>6764.6329546666675</v>
      </c>
      <c r="G87" s="241">
        <f>SUM(G78:G85)</f>
        <v>0.99999999999999989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7.8658522728682181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338.23164773333338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97"/>
  <sheetViews>
    <sheetView zoomScale="70" zoomScaleNormal="70" workbookViewId="0">
      <selection activeCell="D14" sqref="D14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75">
        <v>15</v>
      </c>
      <c r="E4" s="360" t="s">
        <v>85</v>
      </c>
      <c r="F4" s="83" t="s">
        <v>86</v>
      </c>
      <c r="G4" s="84">
        <v>11</v>
      </c>
    </row>
    <row r="5" spans="1:9" ht="18" x14ac:dyDescent="0.25">
      <c r="A5" s="360"/>
      <c r="B5" s="375"/>
      <c r="C5" s="85" t="s">
        <v>87</v>
      </c>
      <c r="D5" s="86">
        <v>1</v>
      </c>
      <c r="E5" s="360"/>
      <c r="F5" s="87" t="s">
        <v>88</v>
      </c>
      <c r="G5" s="88">
        <v>0</v>
      </c>
    </row>
    <row r="6" spans="1:9" ht="18" x14ac:dyDescent="0.25">
      <c r="A6" s="360"/>
      <c r="B6" s="375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8.5143653638888885</v>
      </c>
      <c r="G12" s="369">
        <f>F12*D14</f>
        <v>408.68953746666665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48</v>
      </c>
      <c r="E14" s="371" t="s">
        <v>96</v>
      </c>
      <c r="F14" s="352">
        <f>G89</f>
        <v>6.4071523500000005</v>
      </c>
      <c r="G14" s="369">
        <f>F14*D14</f>
        <v>307.54331280000002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960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1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-0.52</v>
      </c>
      <c r="E27" s="124">
        <f>SUMIF(D27,"&gt;=0",D27)+D26</f>
        <v>1</v>
      </c>
      <c r="F27" s="125">
        <f>SUM(F19:F25)*E27</f>
        <v>2717.3910000000001</v>
      </c>
      <c r="G27" s="126">
        <f>SUM(G19:G25)*E27</f>
        <v>4307.7404444444437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9.6000000000000002E-2</v>
      </c>
      <c r="E44" s="159" t="s">
        <v>119</v>
      </c>
      <c r="F44" s="160">
        <f>C44+(C44*D44)</f>
        <v>4384</v>
      </c>
      <c r="G44" s="161">
        <f>F44/12</f>
        <v>365.33333333333331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48</v>
      </c>
      <c r="D49" s="295">
        <v>7</v>
      </c>
      <c r="E49" s="304">
        <v>6.19</v>
      </c>
      <c r="F49" s="172">
        <f>(C49/D49)*E49</f>
        <v>42.445714285714288</v>
      </c>
      <c r="G49" s="173">
        <f>F49*D13</f>
        <v>848.91428571428582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16.978285714285715</v>
      </c>
      <c r="G51" s="173">
        <f>F51*D13</f>
        <v>339.56571428571431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8489.1428571428587</v>
      </c>
      <c r="F63" s="216">
        <f>E63/$D$12</f>
        <v>848.91428571428582</v>
      </c>
      <c r="G63" s="217">
        <f>F63/$F$72</f>
        <v>0.10385808882904478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6.4382816101524076E-2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3395.6571428571438</v>
      </c>
      <c r="F65" s="216">
        <f>E65/$D$12</f>
        <v>339.56571428571436</v>
      </c>
      <c r="G65" s="217">
        <f>F65/$F$72</f>
        <v>4.1543235531617914E-2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4384</v>
      </c>
      <c r="F66" s="216">
        <f>G44</f>
        <v>365.33333333333331</v>
      </c>
      <c r="G66" s="217">
        <f>F66/$F$72</f>
        <v>4.4695704176563419E-2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43077.404444444437</v>
      </c>
      <c r="F67" s="216">
        <f>E67/$D$12</f>
        <v>4307.7404444444437</v>
      </c>
      <c r="G67" s="217">
        <f>F67/$F$72</f>
        <v>0.52701868405375918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65661.224444444437</v>
      </c>
      <c r="F68" s="216">
        <f>SUM(F63:F67)</f>
        <v>6387.8054444444442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13132.244888888888</v>
      </c>
      <c r="F69" s="216">
        <f>E69/$D$12</f>
        <v>1313.2244888888888</v>
      </c>
      <c r="G69" s="217">
        <f>F69/$F$72</f>
        <v>0.16066284654962537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4727.6081599999998</v>
      </c>
      <c r="F70" s="216">
        <f>E70/$D$12</f>
        <v>472.76081599999998</v>
      </c>
      <c r="G70" s="217">
        <f>F70/$F$72</f>
        <v>5.7838624757865137E-2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83521.07749333333</v>
      </c>
      <c r="F72" s="220">
        <f>F68+F69+F70</f>
        <v>8173.7907493333332</v>
      </c>
      <c r="G72" s="217">
        <f>SUM(G63:G70)</f>
        <v>0.99999999999999989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8.5143653638888885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408.68953746666665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8489.1428571428587</v>
      </c>
      <c r="F78" s="240">
        <f>E78/$D$12</f>
        <v>848.91428571428582</v>
      </c>
      <c r="G78" s="241">
        <f>F78/$F$87</f>
        <v>0.13801540309646521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8.5557325547978333E-2</v>
      </c>
    </row>
    <row r="80" spans="1:8" ht="18" x14ac:dyDescent="0.25">
      <c r="A80" s="331" t="s">
        <v>136</v>
      </c>
      <c r="B80" s="331"/>
      <c r="C80" s="331"/>
      <c r="D80" s="331"/>
      <c r="E80" s="239">
        <f>E78*PARÂMETROS!D15</f>
        <v>3395.6571428571438</v>
      </c>
      <c r="F80" s="240">
        <f>E80/$D$12</f>
        <v>339.56571428571436</v>
      </c>
      <c r="G80" s="241">
        <f>F80/$F$87</f>
        <v>5.5206161238586092E-2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4384</v>
      </c>
      <c r="F81" s="240">
        <f>F66</f>
        <v>365.33333333333331</v>
      </c>
      <c r="G81" s="241">
        <f>F81/$F$87</f>
        <v>5.9395427916671205E-2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27173.91</v>
      </c>
      <c r="F82" s="240">
        <f>E82/$D$12</f>
        <v>2717.3910000000001</v>
      </c>
      <c r="G82" s="241">
        <f>F82/$F$87</f>
        <v>0.44178996695778583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49757.73</v>
      </c>
      <c r="F83" s="244">
        <f>SUM(F78:F82)</f>
        <v>4797.4560000000001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9951.5460000000021</v>
      </c>
      <c r="F84" s="244">
        <f>E84/D12</f>
        <v>995.15460000000019</v>
      </c>
      <c r="G84" s="241">
        <f>F84/$F$87</f>
        <v>0.16179096709008334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3582.55656</v>
      </c>
      <c r="F85" s="244">
        <f>E85/D12</f>
        <v>358.25565599999999</v>
      </c>
      <c r="G85" s="241">
        <f>F85/$F$87</f>
        <v>5.8244748152429991E-2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63291.832560000003</v>
      </c>
      <c r="F87" s="244">
        <f>F83+F84+F85</f>
        <v>6150.8662560000002</v>
      </c>
      <c r="G87" s="241">
        <f>SUM(G78:G85)</f>
        <v>0.99999999999999989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6.4071523500000005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307.54331280000002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97"/>
  <sheetViews>
    <sheetView topLeftCell="A10" zoomScale="70" zoomScaleNormal="70" workbookViewId="0">
      <selection activeCell="F9" sqref="F9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75">
        <v>16</v>
      </c>
      <c r="E4" s="360" t="s">
        <v>85</v>
      </c>
      <c r="F4" s="83" t="s">
        <v>86</v>
      </c>
      <c r="G4" s="84">
        <v>29</v>
      </c>
    </row>
    <row r="5" spans="1:9" ht="18" x14ac:dyDescent="0.25">
      <c r="A5" s="360"/>
      <c r="B5" s="375"/>
      <c r="C5" s="85" t="s">
        <v>87</v>
      </c>
      <c r="D5" s="86">
        <v>2</v>
      </c>
      <c r="E5" s="360"/>
      <c r="F5" s="87" t="s">
        <v>88</v>
      </c>
      <c r="G5" s="88">
        <v>34</v>
      </c>
    </row>
    <row r="6" spans="1:9" ht="18" x14ac:dyDescent="0.25">
      <c r="A6" s="360"/>
      <c r="B6" s="375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38</v>
      </c>
      <c r="G9" s="303">
        <v>150000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8">
        <f>G74</f>
        <v>9.2043701650115803</v>
      </c>
      <c r="G12" s="369">
        <f>F12*D14</f>
        <v>775.92840491047616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9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84.3</v>
      </c>
      <c r="E14" s="371" t="s">
        <v>96</v>
      </c>
      <c r="F14" s="376">
        <f>G89</f>
        <v>7.7313607932440824</v>
      </c>
      <c r="G14" s="369">
        <f>F14*D14</f>
        <v>651.75371487047607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1686</v>
      </c>
      <c r="E15" s="372"/>
      <c r="F15" s="377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3767.43</v>
      </c>
      <c r="G19" s="112">
        <f>PARÂMETROS!C21</f>
        <v>3767.43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414.41730000000001</v>
      </c>
      <c r="G20" s="112">
        <f>G19*C20</f>
        <v>414.41730000000001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301.39440000000002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313.95249999999999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104.65083333333332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313.95249999999999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2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-0.15700000000000003</v>
      </c>
      <c r="E27" s="124">
        <f>SUMIF(D27,"&gt;=0",D27)+D26</f>
        <v>1</v>
      </c>
      <c r="F27" s="125">
        <f>SUM(F19:F25)*E27</f>
        <v>4181.8472999999994</v>
      </c>
      <c r="G27" s="126">
        <f>SUM(G19:G25)*E27</f>
        <v>6134.2795333333333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7500</v>
      </c>
      <c r="D44" s="158">
        <f>D14*0.2%</f>
        <v>0.1686</v>
      </c>
      <c r="E44" s="159" t="s">
        <v>119</v>
      </c>
      <c r="F44" s="160">
        <f>C44+(C44*D44)</f>
        <v>8764.5</v>
      </c>
      <c r="G44" s="161">
        <f>F44/12</f>
        <v>730.375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5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5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129</v>
      </c>
      <c r="B49" s="337"/>
      <c r="C49" s="171">
        <f>D14</f>
        <v>84.3</v>
      </c>
      <c r="D49" s="295">
        <v>3.5</v>
      </c>
      <c r="E49" s="304">
        <v>6.17</v>
      </c>
      <c r="F49" s="172">
        <f>(C49/D49)*E49</f>
        <v>148.60885714285715</v>
      </c>
      <c r="G49" s="173">
        <f>F49*D13</f>
        <v>2972.1771428571428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39"/>
      <c r="C51" s="339"/>
      <c r="D51" s="296">
        <v>0.6</v>
      </c>
      <c r="E51" s="177"/>
      <c r="F51" s="178">
        <f>F49*D51</f>
        <v>89.165314285714288</v>
      </c>
      <c r="G51" s="173">
        <f>F51*D13</f>
        <v>1783.3062857142859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29721.771428571428</v>
      </c>
      <c r="F63" s="216">
        <f>E63/$D$12</f>
        <v>2972.1771428571428</v>
      </c>
      <c r="G63" s="217">
        <f>F63/$F$72</f>
        <v>0.19152392953058997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3.391109690895925E-2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17833.062857142857</v>
      </c>
      <c r="F65" s="216">
        <f>E65/$D$12</f>
        <v>1783.3062857142857</v>
      </c>
      <c r="G65" s="217">
        <f>F65/$F$72</f>
        <v>0.11491435771835398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8764.5</v>
      </c>
      <c r="F66" s="216">
        <f>G44</f>
        <v>730.375</v>
      </c>
      <c r="G66" s="217">
        <f>F66/$F$72</f>
        <v>4.7064587104803046E-2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61342.795333333335</v>
      </c>
      <c r="F67" s="216">
        <f>E67/$D$12</f>
        <v>6134.2795333333333</v>
      </c>
      <c r="G67" s="217">
        <f>F67/$F$72</f>
        <v>0.39528643973544719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123977.14961904762</v>
      </c>
      <c r="F68" s="216">
        <f>SUM(F63:F67)</f>
        <v>12146.389628571429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24795.429923809526</v>
      </c>
      <c r="F69" s="216">
        <f>E69/$D$12</f>
        <v>2479.5429923809525</v>
      </c>
      <c r="G69" s="217">
        <f>F69/$F$72</f>
        <v>0.15977910956018118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8926.354772571427</v>
      </c>
      <c r="F70" s="216">
        <f>E70/$D$12</f>
        <v>892.63547725714272</v>
      </c>
      <c r="G70" s="217">
        <f>F70/$F$72</f>
        <v>5.7520479441665218E-2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157698.93431542855</v>
      </c>
      <c r="F72" s="220">
        <f>F68+F69+F70</f>
        <v>15518.568098209525</v>
      </c>
      <c r="G72" s="217">
        <f>SUM(G63:G70)</f>
        <v>0.99999999999999978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9.2043701650115803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775.92840491047616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29721.771428571428</v>
      </c>
      <c r="F78" s="240">
        <f>E78/$D$12</f>
        <v>2972.1771428571428</v>
      </c>
      <c r="G78" s="241">
        <f>F78/$F$87</f>
        <v>0.22801382447415797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4.0371972929318045E-2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17833.062857142857</v>
      </c>
      <c r="F80" s="240">
        <f>E80/$D$12</f>
        <v>1783.3062857142857</v>
      </c>
      <c r="G80" s="241">
        <f>F80/$F$87</f>
        <v>0.13680829468449476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8764.5</v>
      </c>
      <c r="F81" s="240">
        <f>F66</f>
        <v>730.375</v>
      </c>
      <c r="G81" s="241">
        <f>F81/$F$87</f>
        <v>5.6031517990284746E-2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41818.472999999998</v>
      </c>
      <c r="F82" s="240">
        <f>E82/$D$12</f>
        <v>4181.8472999999994</v>
      </c>
      <c r="G82" s="241">
        <f>F82/$F$87</f>
        <v>0.32081499534153507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104452.82728571429</v>
      </c>
      <c r="F83" s="244">
        <f>SUM(F78:F82)</f>
        <v>10193.957395238094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20890.56545714286</v>
      </c>
      <c r="F84" s="244">
        <f>E84/D12</f>
        <v>2089.0565457142861</v>
      </c>
      <c r="G84" s="241">
        <f>F84/$F$87</f>
        <v>0.16026426072074226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7520.6035645714283</v>
      </c>
      <c r="F85" s="244">
        <f>E85/D12</f>
        <v>752.0603564571428</v>
      </c>
      <c r="G85" s="241">
        <f>F85/$F$87</f>
        <v>5.7695133859467201E-2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132863.99630742858</v>
      </c>
      <c r="F87" s="244">
        <f>F83+F84+F85</f>
        <v>13035.074297409523</v>
      </c>
      <c r="G87" s="241">
        <f>SUM(G78:G85)</f>
        <v>1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7.7313607932440824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651.75371487047607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97"/>
  <sheetViews>
    <sheetView zoomScale="70" zoomScaleNormal="70" workbookViewId="0">
      <selection activeCell="E21" sqref="E21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75">
        <v>17</v>
      </c>
      <c r="E4" s="360" t="s">
        <v>85</v>
      </c>
      <c r="F4" s="83" t="s">
        <v>86</v>
      </c>
      <c r="G4" s="84">
        <v>26</v>
      </c>
    </row>
    <row r="5" spans="1:9" ht="18" x14ac:dyDescent="0.25">
      <c r="A5" s="360"/>
      <c r="B5" s="375"/>
      <c r="C5" s="85" t="s">
        <v>87</v>
      </c>
      <c r="D5" s="86">
        <v>2</v>
      </c>
      <c r="E5" s="360"/>
      <c r="F5" s="87" t="s">
        <v>88</v>
      </c>
      <c r="G5" s="88">
        <v>38</v>
      </c>
    </row>
    <row r="6" spans="1:9" ht="18" x14ac:dyDescent="0.25">
      <c r="A6" s="360"/>
      <c r="B6" s="375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311"/>
      <c r="F7" s="310"/>
      <c r="G7" s="312" t="s">
        <v>178</v>
      </c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32</v>
      </c>
      <c r="G9" s="303">
        <v>150000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8">
        <f>G74</f>
        <v>14.751217661260041</v>
      </c>
      <c r="G12" s="369">
        <f>F12*D14</f>
        <v>621.0262635390477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9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42.1</v>
      </c>
      <c r="E14" s="371" t="s">
        <v>96</v>
      </c>
      <c r="F14" s="376">
        <f>G89</f>
        <v>11.801700083112769</v>
      </c>
      <c r="G14" s="369">
        <f>F14*D14</f>
        <v>496.85157349904756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842</v>
      </c>
      <c r="E15" s="372"/>
      <c r="F15" s="377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3767.43</v>
      </c>
      <c r="G19" s="112">
        <f>PARÂMETROS!C21</f>
        <v>3767.43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414.41730000000001</v>
      </c>
      <c r="G20" s="112">
        <f>G19*C20</f>
        <v>414.41730000000001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301.39440000000002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313.95249999999999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104.65083333333332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313.95249999999999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2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-0.57899999999999996</v>
      </c>
      <c r="E27" s="124">
        <f>SUMIF(D27,"&gt;=0",D27)+D26</f>
        <v>1</v>
      </c>
      <c r="F27" s="125">
        <f>SUM(F19:F25)*E27</f>
        <v>4181.8472999999994</v>
      </c>
      <c r="G27" s="126">
        <f>SUM(G19:G25)*E27</f>
        <v>6134.2795333333333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7500</v>
      </c>
      <c r="D44" s="158">
        <f>D14*0.2%</f>
        <v>8.4200000000000011E-2</v>
      </c>
      <c r="E44" s="159" t="s">
        <v>119</v>
      </c>
      <c r="F44" s="160">
        <f>C44+(C44*D44)</f>
        <v>8131.5</v>
      </c>
      <c r="G44" s="161">
        <f>F44/12</f>
        <v>677.625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5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5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129</v>
      </c>
      <c r="B49" s="337"/>
      <c r="C49" s="171">
        <f>D14</f>
        <v>42.1</v>
      </c>
      <c r="D49" s="295">
        <v>3.5</v>
      </c>
      <c r="E49" s="304">
        <v>6.17</v>
      </c>
      <c r="F49" s="172">
        <f>(C49/D49)*E49</f>
        <v>74.216285714285718</v>
      </c>
      <c r="G49" s="173">
        <f>F49*D13</f>
        <v>1484.3257142857144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39"/>
      <c r="C51" s="339"/>
      <c r="D51" s="296">
        <v>0.6</v>
      </c>
      <c r="E51" s="177"/>
      <c r="F51" s="178">
        <f>F49*D51</f>
        <v>44.529771428571429</v>
      </c>
      <c r="G51" s="173">
        <f>F51*D13</f>
        <v>890.59542857142856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14843.257142857145</v>
      </c>
      <c r="F63" s="216">
        <f>E63/$D$12</f>
        <v>1484.3257142857144</v>
      </c>
      <c r="G63" s="217">
        <f>F63/$F$72</f>
        <v>0.11950587289392357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4.236951780973898E-2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8905.954285714286</v>
      </c>
      <c r="F65" s="216">
        <f>E65/$D$12</f>
        <v>890.59542857142856</v>
      </c>
      <c r="G65" s="217">
        <f>F65/$F$72</f>
        <v>7.1703523736354136E-2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8131.5</v>
      </c>
      <c r="F66" s="216">
        <f>G44</f>
        <v>677.625</v>
      </c>
      <c r="G66" s="217">
        <f>F66/$F$72</f>
        <v>5.455687140656601E-2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61342.795333333335</v>
      </c>
      <c r="F67" s="216">
        <f>E67/$D$12</f>
        <v>6134.2795333333333</v>
      </c>
      <c r="G67" s="217">
        <f>F67/$F$72</f>
        <v>0.49388245662718527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99538.526761904766</v>
      </c>
      <c r="F68" s="216">
        <f>SUM(F63:F67)</f>
        <v>9713.0773428571429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19907.705352380955</v>
      </c>
      <c r="F69" s="216">
        <f>E69/$D$12</f>
        <v>1990.7705352380956</v>
      </c>
      <c r="G69" s="217">
        <f>F69/$F$72</f>
        <v>0.16028070406340583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7166.7739268571431</v>
      </c>
      <c r="F70" s="216">
        <f>E70/$D$12</f>
        <v>716.67739268571427</v>
      </c>
      <c r="G70" s="217">
        <f>F70/$F$72</f>
        <v>5.7701053462826085E-2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126613.00604114287</v>
      </c>
      <c r="F72" s="220">
        <f>F68+F69+F70</f>
        <v>12420.525270780954</v>
      </c>
      <c r="G72" s="217">
        <f>SUM(G63:G70)</f>
        <v>0.99999999999999989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14.751217661260041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621.0262635390477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14843.257142857145</v>
      </c>
      <c r="F78" s="240">
        <f>E78/$D$12</f>
        <v>1484.3257142857144</v>
      </c>
      <c r="G78" s="241">
        <f>F78/$F$87</f>
        <v>0.14937315221047195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5.2958639434365747E-2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8905.954285714286</v>
      </c>
      <c r="F80" s="240">
        <f>E80/$D$12</f>
        <v>890.59542857142856</v>
      </c>
      <c r="G80" s="241">
        <f>F80/$F$87</f>
        <v>8.962389132628315E-2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8131.5</v>
      </c>
      <c r="F81" s="240">
        <f>F66</f>
        <v>677.625</v>
      </c>
      <c r="G81" s="241">
        <f>F81/$F$87</f>
        <v>6.819189433454606E-2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41818.472999999998</v>
      </c>
      <c r="F82" s="240">
        <f>E82/$D$12</f>
        <v>4181.8472999999994</v>
      </c>
      <c r="G82" s="241">
        <f>F82/$F$87</f>
        <v>0.4208346640174237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80014.204428571422</v>
      </c>
      <c r="F83" s="244">
        <f>SUM(F78:F82)</f>
        <v>7760.645109523809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16002.840885714286</v>
      </c>
      <c r="F84" s="244">
        <f>E84/D12</f>
        <v>1600.2840885714286</v>
      </c>
      <c r="G84" s="241">
        <f>F84/$F$87</f>
        <v>0.16104246961537461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5761.0227188571416</v>
      </c>
      <c r="F85" s="244">
        <f>E85/D12</f>
        <v>576.10227188571412</v>
      </c>
      <c r="G85" s="241">
        <f>F85/$F$87</f>
        <v>5.7975289061534839E-2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101778.06803314284</v>
      </c>
      <c r="F87" s="244">
        <f>F83+F84+F85</f>
        <v>9937.0314699809514</v>
      </c>
      <c r="G87" s="241">
        <f>SUM(G78:G85)</f>
        <v>1.0000000000000002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11.801700083112769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496.85157349904756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97"/>
  <sheetViews>
    <sheetView zoomScale="70" zoomScaleNormal="70" workbookViewId="0">
      <selection activeCell="F9" sqref="F9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75">
        <v>18</v>
      </c>
      <c r="E4" s="360" t="s">
        <v>85</v>
      </c>
      <c r="F4" s="83" t="s">
        <v>86</v>
      </c>
      <c r="G4" s="84">
        <v>21</v>
      </c>
    </row>
    <row r="5" spans="1:9" ht="18" x14ac:dyDescent="0.25">
      <c r="A5" s="360"/>
      <c r="B5" s="375"/>
      <c r="C5" s="85" t="s">
        <v>87</v>
      </c>
      <c r="D5" s="86">
        <v>2</v>
      </c>
      <c r="E5" s="360"/>
      <c r="F5" s="87" t="s">
        <v>88</v>
      </c>
      <c r="G5" s="88">
        <v>38</v>
      </c>
    </row>
    <row r="6" spans="1:9" ht="18" x14ac:dyDescent="0.25">
      <c r="A6" s="360"/>
      <c r="B6" s="375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45</v>
      </c>
      <c r="G9" s="303">
        <v>150000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8">
        <f>G74</f>
        <v>8.5811004240200504</v>
      </c>
      <c r="G12" s="369">
        <f>F12*D14</f>
        <v>815.20454028190477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9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95</v>
      </c>
      <c r="E14" s="371" t="s">
        <v>96</v>
      </c>
      <c r="F14" s="376">
        <f>G89</f>
        <v>7.2739984235989974</v>
      </c>
      <c r="G14" s="369">
        <f>F14*D14</f>
        <v>691.0298502419048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1900</v>
      </c>
      <c r="E15" s="372"/>
      <c r="F15" s="377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3767.43</v>
      </c>
      <c r="G19" s="112">
        <f>PARÂMETROS!C21</f>
        <v>3767.43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414.41730000000001</v>
      </c>
      <c r="G20" s="112">
        <f>G19*C20</f>
        <v>414.41730000000001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301.39440000000002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313.95249999999999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104.65083333333332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313.95249999999999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2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-0.05</v>
      </c>
      <c r="E27" s="124">
        <f>SUMIF(D27,"&gt;=0",D27)+D26</f>
        <v>1</v>
      </c>
      <c r="F27" s="125">
        <f>SUM(F19:F25)*E27</f>
        <v>4181.8472999999994</v>
      </c>
      <c r="G27" s="126">
        <f>SUM(G19:G25)*E27</f>
        <v>6134.2795333333333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7500</v>
      </c>
      <c r="D44" s="158">
        <f>D14*0.2%</f>
        <v>0.19</v>
      </c>
      <c r="E44" s="159" t="s">
        <v>119</v>
      </c>
      <c r="F44" s="160">
        <f>C44+(C44*D44)</f>
        <v>8925</v>
      </c>
      <c r="G44" s="161">
        <f>F44/12</f>
        <v>743.75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5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5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129</v>
      </c>
      <c r="B49" s="337"/>
      <c r="C49" s="171">
        <f>D14</f>
        <v>95</v>
      </c>
      <c r="D49" s="295">
        <v>3.5</v>
      </c>
      <c r="E49" s="304">
        <v>6.17</v>
      </c>
      <c r="F49" s="172">
        <f>(C49/D49)*E49</f>
        <v>167.47142857142856</v>
      </c>
      <c r="G49" s="173">
        <f>F49*D13</f>
        <v>3349.4285714285711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39"/>
      <c r="C51" s="339"/>
      <c r="D51" s="296">
        <v>0.6</v>
      </c>
      <c r="E51" s="177"/>
      <c r="F51" s="178">
        <f>F49*D51</f>
        <v>100.48285714285713</v>
      </c>
      <c r="G51" s="173">
        <f>F51*D13</f>
        <v>2009.6571428571426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33494.28571428571</v>
      </c>
      <c r="F63" s="216">
        <f>E63/$D$12</f>
        <v>3349.4285714285711</v>
      </c>
      <c r="G63" s="217">
        <f>F63/$F$72</f>
        <v>0.20543485750645535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3.2277277705340321E-2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20096.571428571424</v>
      </c>
      <c r="F65" s="216">
        <f>E65/$D$12</f>
        <v>2009.6571428571424</v>
      </c>
      <c r="G65" s="217">
        <f>F65/$F$72</f>
        <v>0.12326091450387319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8925</v>
      </c>
      <c r="F66" s="216">
        <f>G44</f>
        <v>743.75</v>
      </c>
      <c r="G66" s="217">
        <f>F66/$F$72</f>
        <v>4.5617385775526029E-2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61342.795333333335</v>
      </c>
      <c r="F67" s="216">
        <f>E67/$D$12</f>
        <v>6134.2795333333333</v>
      </c>
      <c r="G67" s="217">
        <f>F67/$F$72</f>
        <v>0.37624174242283087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130173.67247619046</v>
      </c>
      <c r="F68" s="216">
        <f>SUM(F63:F67)</f>
        <v>12763.366914285714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26034.734495238095</v>
      </c>
      <c r="F69" s="216">
        <f>E69/$D$12</f>
        <v>2603.4734495238094</v>
      </c>
      <c r="G69" s="217">
        <f>F69/$F$72</f>
        <v>0.15968222212203981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9372.5044182857127</v>
      </c>
      <c r="F70" s="216">
        <f>E70/$D$12</f>
        <v>937.2504418285713</v>
      </c>
      <c r="G70" s="217">
        <f>F70/$F$72</f>
        <v>5.7485599963934327E-2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165580.91138971425</v>
      </c>
      <c r="F72" s="220">
        <f>F68+F69+F70</f>
        <v>16304.090805638096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8.5811004240200504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815.20454028190477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33494.28571428571</v>
      </c>
      <c r="F78" s="240">
        <f>E78/$D$12</f>
        <v>3349.4285714285711</v>
      </c>
      <c r="G78" s="241">
        <f>F78/$F$87</f>
        <v>0.24235049833636393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3.8077346910733653E-2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20096.571428571424</v>
      </c>
      <c r="F80" s="240">
        <f>E80/$D$12</f>
        <v>2009.6571428571424</v>
      </c>
      <c r="G80" s="241">
        <f>F80/$F$87</f>
        <v>0.14541029900181834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8925</v>
      </c>
      <c r="F81" s="240">
        <f>F66</f>
        <v>743.75</v>
      </c>
      <c r="G81" s="241">
        <f>F81/$F$87</f>
        <v>5.3814607266215765E-2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41818.472999999998</v>
      </c>
      <c r="F82" s="240">
        <f>E82/$D$12</f>
        <v>4181.8472999999994</v>
      </c>
      <c r="G82" s="241">
        <f>F82/$F$87</f>
        <v>0.30258080013013078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110649.35014285713</v>
      </c>
      <c r="F83" s="244">
        <f>SUM(F78:F82)</f>
        <v>10810.934680952379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22129.870028571429</v>
      </c>
      <c r="F84" s="244">
        <f>E84/D12</f>
        <v>2212.9870028571431</v>
      </c>
      <c r="G84" s="241">
        <f>F84/$F$87</f>
        <v>0.1601223884961305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7966.753210285714</v>
      </c>
      <c r="F85" s="244">
        <f>E85/D12</f>
        <v>796.67532102857137</v>
      </c>
      <c r="G85" s="241">
        <f>F85/$F$87</f>
        <v>5.7644059858606975E-2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140745.97338171428</v>
      </c>
      <c r="F87" s="244">
        <f>F83+F84+F85</f>
        <v>13820.597004838095</v>
      </c>
      <c r="G87" s="241">
        <f>SUM(G78:G85)</f>
        <v>1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7.2739984235989974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691.0298502419048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7"/>
  <sheetViews>
    <sheetView topLeftCell="A58" zoomScale="70" zoomScaleNormal="70" workbookViewId="0">
      <selection activeCell="F23" sqref="F23"/>
    </sheetView>
  </sheetViews>
  <sheetFormatPr defaultColWidth="26" defaultRowHeight="15" x14ac:dyDescent="0.25"/>
  <sheetData>
    <row r="1" spans="1:8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8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8" ht="18" x14ac:dyDescent="0.25">
      <c r="A4" s="360" t="s">
        <v>84</v>
      </c>
      <c r="B4" s="361">
        <v>1</v>
      </c>
      <c r="E4" s="360" t="s">
        <v>85</v>
      </c>
      <c r="F4" s="83" t="s">
        <v>86</v>
      </c>
      <c r="G4" s="84">
        <v>7</v>
      </c>
    </row>
    <row r="5" spans="1:8" ht="18" x14ac:dyDescent="0.25">
      <c r="A5" s="360"/>
      <c r="B5" s="361"/>
      <c r="C5" s="85" t="s">
        <v>87</v>
      </c>
      <c r="D5" s="86">
        <v>3</v>
      </c>
      <c r="E5" s="360"/>
      <c r="F5" s="87" t="s">
        <v>88</v>
      </c>
      <c r="G5" s="88">
        <v>11</v>
      </c>
    </row>
    <row r="6" spans="1:8" ht="18" x14ac:dyDescent="0.25">
      <c r="A6" s="360"/>
      <c r="B6" s="361"/>
      <c r="C6" s="89"/>
      <c r="E6" s="360"/>
      <c r="F6" s="90" t="s">
        <v>89</v>
      </c>
      <c r="G6" s="91">
        <v>7</v>
      </c>
    </row>
    <row r="7" spans="1:8" ht="18" x14ac:dyDescent="0.25">
      <c r="A7" s="89"/>
      <c r="B7" s="89"/>
      <c r="C7" s="89"/>
      <c r="D7" s="89"/>
      <c r="E7" s="89"/>
      <c r="F7" s="89"/>
      <c r="G7" s="89"/>
    </row>
    <row r="8" spans="1:8" ht="18.75" customHeight="1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8" ht="18" x14ac:dyDescent="0.25">
      <c r="B9" s="362"/>
      <c r="C9" s="363"/>
      <c r="D9" s="363"/>
      <c r="E9" s="308">
        <v>2006</v>
      </c>
      <c r="F9" s="302">
        <v>14</v>
      </c>
      <c r="G9" s="303">
        <v>80000</v>
      </c>
      <c r="H9" s="92"/>
    </row>
    <row r="10" spans="1:8" ht="18" x14ac:dyDescent="0.25">
      <c r="A10" s="93"/>
      <c r="B10" s="94"/>
      <c r="C10" s="94"/>
      <c r="D10" s="93"/>
      <c r="E10" s="356" t="s">
        <v>168</v>
      </c>
      <c r="F10" s="356"/>
      <c r="G10" s="356"/>
      <c r="H10" s="92"/>
    </row>
    <row r="11" spans="1:8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</row>
    <row r="12" spans="1:8" ht="18" customHeight="1" x14ac:dyDescent="0.25">
      <c r="A12" s="365" t="s">
        <v>92</v>
      </c>
      <c r="B12" s="365"/>
      <c r="C12" s="365"/>
      <c r="D12" s="97">
        <v>10</v>
      </c>
      <c r="E12" s="351" t="s">
        <v>93</v>
      </c>
      <c r="F12" s="366">
        <f>G74</f>
        <v>6.4145440816326529</v>
      </c>
      <c r="G12" s="357">
        <f>F12*D14</f>
        <v>534.33152199999995</v>
      </c>
    </row>
    <row r="13" spans="1:8" ht="18" x14ac:dyDescent="0.25">
      <c r="A13" s="365" t="s">
        <v>94</v>
      </c>
      <c r="B13" s="365"/>
      <c r="C13" s="365"/>
      <c r="D13" s="97">
        <v>20</v>
      </c>
      <c r="E13" s="351"/>
      <c r="F13" s="366"/>
      <c r="G13" s="357"/>
      <c r="H13" s="98"/>
    </row>
    <row r="14" spans="1:8" ht="18" customHeight="1" x14ac:dyDescent="0.25">
      <c r="A14" s="365" t="s">
        <v>95</v>
      </c>
      <c r="B14" s="365"/>
      <c r="C14" s="365"/>
      <c r="D14" s="99">
        <v>83.3</v>
      </c>
      <c r="E14" s="351" t="s">
        <v>96</v>
      </c>
      <c r="F14" s="352">
        <f>G89</f>
        <v>4.8967435914365742</v>
      </c>
      <c r="G14" s="357">
        <f>F14*D14</f>
        <v>407.89874116666664</v>
      </c>
    </row>
    <row r="15" spans="1:8" ht="18" customHeight="1" x14ac:dyDescent="0.25">
      <c r="A15" s="354" t="s">
        <v>97</v>
      </c>
      <c r="B15" s="354"/>
      <c r="C15" s="354"/>
      <c r="D15" s="100">
        <f>D14*D13</f>
        <v>1666</v>
      </c>
      <c r="E15" s="351"/>
      <c r="F15" s="353"/>
      <c r="G15" s="357"/>
    </row>
    <row r="16" spans="1:8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3</v>
      </c>
      <c r="D26" s="119">
        <f>IF(D5&lt;3,100%,125%)</f>
        <v>1.25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-0.16700000000000004</v>
      </c>
      <c r="E27" s="124">
        <f>SUMIF(D27,"&gt;=0",D27)+D26</f>
        <v>1.25</v>
      </c>
      <c r="F27" s="125">
        <f>SUM(F19:F25)*E27</f>
        <v>3396.73875</v>
      </c>
      <c r="G27" s="126">
        <f>SUM(G19:G25)*E27</f>
        <v>5384.6755555555546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2"/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0.1666</v>
      </c>
      <c r="E44" s="159" t="s">
        <v>119</v>
      </c>
      <c r="F44" s="160">
        <f>C44+(C44*D44)</f>
        <v>4666.3999999999996</v>
      </c>
      <c r="G44" s="161">
        <f>F44/12</f>
        <v>388.86666666666662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83.3</v>
      </c>
      <c r="D49" s="295">
        <v>7</v>
      </c>
      <c r="E49" s="304">
        <v>6.19</v>
      </c>
      <c r="F49" s="172">
        <f>(C49/D49)*E49</f>
        <v>73.661000000000001</v>
      </c>
      <c r="G49" s="173">
        <f>F49*D13</f>
        <v>1473.22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29.464400000000001</v>
      </c>
      <c r="G51" s="173">
        <f>F51*D13</f>
        <v>589.28800000000001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297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14732.2</v>
      </c>
      <c r="F63" s="216">
        <f>E63/$D$12</f>
        <v>1473.22</v>
      </c>
      <c r="G63" s="217">
        <f>F63/$F$72</f>
        <v>0.13785636251495567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4.9243928628514143E-2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5892.880000000001</v>
      </c>
      <c r="F65" s="216">
        <f>E65/$D$12</f>
        <v>589.28800000000012</v>
      </c>
      <c r="G65" s="217">
        <f>F65/$F$72</f>
        <v>5.5142545005982278E-2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4666.3999999999996</v>
      </c>
      <c r="F66" s="216">
        <f>G44</f>
        <v>388.86666666666662</v>
      </c>
      <c r="G66" s="217">
        <f>F66/$F$72</f>
        <v>3.6388145809846742E-2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53846.755555555545</v>
      </c>
      <c r="F67" s="216">
        <f>E67/$D$12</f>
        <v>5384.6755555555546</v>
      </c>
      <c r="G67" s="217">
        <f>F67/$F$72</f>
        <v>0.50387028781314858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85453.255555555545</v>
      </c>
      <c r="F68" s="216">
        <f>SUM(F63:F67)</f>
        <v>8362.3018888888873</v>
      </c>
      <c r="G68" s="217"/>
      <c r="H68" s="11"/>
    </row>
    <row r="69" spans="1:8" ht="18" x14ac:dyDescent="0.25">
      <c r="A69" s="218"/>
      <c r="B69" s="221" t="s">
        <v>167</v>
      </c>
      <c r="C69" s="299">
        <v>0.2</v>
      </c>
      <c r="D69" s="213"/>
      <c r="E69" s="220">
        <f>E68*C69</f>
        <v>17090.65111111111</v>
      </c>
      <c r="F69" s="216">
        <f>E69/$D$12</f>
        <v>1709.065111111111</v>
      </c>
      <c r="G69" s="217">
        <f>F69/$F$72</f>
        <v>0.15992553693202394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6152.634399999999</v>
      </c>
      <c r="F70" s="216">
        <f>E70/$D$12</f>
        <v>615.26343999999995</v>
      </c>
      <c r="G70" s="217">
        <f>F70/$F$72</f>
        <v>5.7573193295528617E-2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108696.54106666664</v>
      </c>
      <c r="F72" s="220">
        <f>F68+F69+F70</f>
        <v>10686.630439999999</v>
      </c>
      <c r="G72" s="217">
        <f>SUM(G63:G70)</f>
        <v>0.99999999999999989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6.4145440816326529</v>
      </c>
    </row>
    <row r="75" spans="1:8" s="285" customFormat="1" ht="18" x14ac:dyDescent="0.25">
      <c r="A75" s="279" t="s">
        <v>155</v>
      </c>
      <c r="B75" s="280"/>
      <c r="C75" s="280"/>
      <c r="D75" s="281"/>
      <c r="E75" s="282"/>
      <c r="F75" s="283"/>
      <c r="G75" s="284">
        <f>G74*D14</f>
        <v>534.33152199999995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14732.2</v>
      </c>
      <c r="F78" s="240">
        <f>E78/$D$12</f>
        <v>1473.22</v>
      </c>
      <c r="G78" s="241">
        <f>F78/$F$87</f>
        <v>0.1805864852372816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6.4507635542278036E-2</v>
      </c>
    </row>
    <row r="80" spans="1:8" ht="18" x14ac:dyDescent="0.25">
      <c r="A80" s="331" t="s">
        <v>136</v>
      </c>
      <c r="B80" s="331"/>
      <c r="C80" s="331"/>
      <c r="D80" s="331"/>
      <c r="E80" s="239">
        <f>E78*D51</f>
        <v>5892.880000000001</v>
      </c>
      <c r="F80" s="240">
        <f>E80/$D$12</f>
        <v>589.28800000000012</v>
      </c>
      <c r="G80" s="241">
        <f>F80/$F$87</f>
        <v>7.223459409491266E-2</v>
      </c>
    </row>
    <row r="81" spans="1:7" ht="18" x14ac:dyDescent="0.25">
      <c r="A81" s="242" t="s">
        <v>49</v>
      </c>
      <c r="B81" s="243"/>
      <c r="C81" s="243"/>
      <c r="D81" s="243"/>
      <c r="E81" s="239">
        <f>F44</f>
        <v>4666.3999999999996</v>
      </c>
      <c r="F81" s="240">
        <f>F66</f>
        <v>388.86666666666662</v>
      </c>
      <c r="G81" s="241">
        <f>F81/$F$87</f>
        <v>4.7667058931640152E-2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33967.387499999997</v>
      </c>
      <c r="F82" s="240">
        <f>E82/$D$12</f>
        <v>3396.7387499999995</v>
      </c>
      <c r="G82" s="241">
        <f>F82/$F$87</f>
        <v>0.41637033988934258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65573.887499999997</v>
      </c>
      <c r="F83" s="244">
        <f>SUM(F78:F82)</f>
        <v>6374.3650833333331</v>
      </c>
      <c r="G83" s="241"/>
    </row>
    <row r="84" spans="1:7" ht="18" x14ac:dyDescent="0.25">
      <c r="A84" s="242"/>
      <c r="B84" s="245" t="s">
        <v>139</v>
      </c>
      <c r="C84" s="300">
        <f>C69</f>
        <v>0.2</v>
      </c>
      <c r="D84" s="237"/>
      <c r="E84" s="244">
        <f>E83*C84</f>
        <v>13114.7775</v>
      </c>
      <c r="F84" s="244">
        <f>E84/D12</f>
        <v>1311.47775</v>
      </c>
      <c r="G84" s="241">
        <f>F84/$F$87</f>
        <v>0.16076021051804776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4721.3198999999995</v>
      </c>
      <c r="F85" s="244">
        <f>E85/D12</f>
        <v>472.13198999999997</v>
      </c>
      <c r="G85" s="241">
        <f>F85/$F$87</f>
        <v>5.7873675786497186E-2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83409.984899999996</v>
      </c>
      <c r="F87" s="244">
        <f>F83+F84+F85</f>
        <v>8157.974823333333</v>
      </c>
      <c r="G87" s="241">
        <f>SUM(G78:G85)</f>
        <v>1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4.8967435914365742</v>
      </c>
    </row>
    <row r="90" spans="1:7" s="285" customFormat="1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407.89874116666664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E10:G10"/>
    <mergeCell ref="G12:G13"/>
    <mergeCell ref="G14:G15"/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E12:E13"/>
    <mergeCell ref="F12:F13"/>
    <mergeCell ref="A13:C13"/>
    <mergeCell ref="A14:C14"/>
    <mergeCell ref="E14:E15"/>
    <mergeCell ref="F14:F15"/>
    <mergeCell ref="A15:C15"/>
    <mergeCell ref="F17:G17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F57:G57"/>
    <mergeCell ref="A59:C59"/>
    <mergeCell ref="A62:D62"/>
    <mergeCell ref="E47:E48"/>
    <mergeCell ref="F47:G47"/>
    <mergeCell ref="A49:B49"/>
    <mergeCell ref="A51:C51"/>
    <mergeCell ref="F54:G54"/>
    <mergeCell ref="F55:G55"/>
    <mergeCell ref="F56:G56"/>
    <mergeCell ref="A72:C72"/>
    <mergeCell ref="A77:D77"/>
    <mergeCell ref="A87:C87"/>
    <mergeCell ref="A79:C79"/>
    <mergeCell ref="A80:D80"/>
    <mergeCell ref="A82:C82"/>
    <mergeCell ref="A83:C83"/>
    <mergeCell ref="A86:C86"/>
    <mergeCell ref="A64:C64"/>
    <mergeCell ref="A65:D65"/>
    <mergeCell ref="A67:C67"/>
    <mergeCell ref="A68:C68"/>
    <mergeCell ref="A71:C71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J27"/>
  <sheetViews>
    <sheetView zoomScaleNormal="100" workbookViewId="0">
      <selection activeCell="A29" sqref="A29:D30"/>
    </sheetView>
  </sheetViews>
  <sheetFormatPr defaultColWidth="16.42578125" defaultRowHeight="15.75" x14ac:dyDescent="0.25"/>
  <cols>
    <col min="1" max="1" width="12.140625" style="257" customWidth="1"/>
    <col min="2" max="2" width="8.7109375" style="258" customWidth="1"/>
    <col min="3" max="3" width="13.85546875" style="258" customWidth="1"/>
    <col min="4" max="4" width="15.5703125" style="258" customWidth="1"/>
    <col min="5" max="5" width="14.5703125" style="258" customWidth="1"/>
    <col min="6" max="6" width="15.5703125" style="258" customWidth="1"/>
    <col min="7" max="8" width="16.42578125" style="258"/>
    <col min="9" max="9" width="9.7109375" style="258" customWidth="1"/>
    <col min="10" max="10" width="25.140625" style="258" customWidth="1"/>
    <col min="11" max="1024" width="16.42578125" style="258"/>
  </cols>
  <sheetData>
    <row r="1" spans="1:10" s="259" customFormat="1" ht="15.75" customHeight="1" x14ac:dyDescent="0.25">
      <c r="A1" s="381" t="s">
        <v>146</v>
      </c>
      <c r="B1" s="382" t="s">
        <v>147</v>
      </c>
      <c r="C1" s="383" t="s">
        <v>148</v>
      </c>
      <c r="D1" s="383"/>
      <c r="E1" s="383" t="s">
        <v>149</v>
      </c>
      <c r="F1" s="383"/>
      <c r="G1" s="383" t="s">
        <v>150</v>
      </c>
      <c r="H1" s="383"/>
      <c r="J1" s="380"/>
    </row>
    <row r="2" spans="1:10" s="259" customFormat="1" x14ac:dyDescent="0.25">
      <c r="A2" s="381"/>
      <c r="B2" s="382"/>
      <c r="C2" s="260" t="s">
        <v>151</v>
      </c>
      <c r="D2" s="261" t="s">
        <v>152</v>
      </c>
      <c r="E2" s="260" t="str">
        <f>C2</f>
        <v>EMPREGADO</v>
      </c>
      <c r="F2" s="261" t="str">
        <f>D2</f>
        <v>PROPRIETÁRIO</v>
      </c>
      <c r="G2" s="260" t="str">
        <f>C2</f>
        <v>EMPREGADO</v>
      </c>
      <c r="H2" s="261" t="str">
        <f>D2</f>
        <v>PROPRIETÁRIO</v>
      </c>
      <c r="J2" s="380"/>
    </row>
    <row r="3" spans="1:10" x14ac:dyDescent="0.25">
      <c r="A3" s="262"/>
      <c r="B3" s="263"/>
      <c r="C3" s="264"/>
      <c r="D3" s="263"/>
      <c r="E3" s="264"/>
      <c r="F3" s="263"/>
      <c r="G3" s="264"/>
      <c r="H3" s="263"/>
    </row>
    <row r="4" spans="1:10" x14ac:dyDescent="0.25">
      <c r="A4" s="265">
        <v>1</v>
      </c>
      <c r="B4" s="263">
        <f>'1'!D14</f>
        <v>83.3</v>
      </c>
      <c r="C4" s="266">
        <f>'1'!G74</f>
        <v>6.4145440816326529</v>
      </c>
      <c r="D4" s="266">
        <f>'1'!G89</f>
        <v>4.8967435914365742</v>
      </c>
      <c r="E4" s="266">
        <f t="shared" ref="E4:E21" si="0">B4*C4</f>
        <v>534.33152199999995</v>
      </c>
      <c r="F4" s="266">
        <f t="shared" ref="F4:F21" si="1">B4*D4</f>
        <v>407.89874116666664</v>
      </c>
      <c r="G4" s="266">
        <f t="shared" ref="G4:G21" si="2">E4*20</f>
        <v>10686.630439999999</v>
      </c>
      <c r="H4" s="266">
        <f t="shared" ref="H4:H21" si="3">F4*20</f>
        <v>8157.974823333333</v>
      </c>
      <c r="J4" s="267"/>
    </row>
    <row r="5" spans="1:10" x14ac:dyDescent="0.25">
      <c r="A5" s="265">
        <v>2</v>
      </c>
      <c r="B5" s="263">
        <f>'2'!D14</f>
        <v>58.6</v>
      </c>
      <c r="C5" s="266">
        <f>'2'!G74</f>
        <v>7.2670716791808863</v>
      </c>
      <c r="D5" s="266">
        <f>'2'!G89</f>
        <v>5.5410268896473278</v>
      </c>
      <c r="E5" s="266">
        <f t="shared" si="0"/>
        <v>425.85040039999996</v>
      </c>
      <c r="F5" s="266">
        <f t="shared" si="1"/>
        <v>324.70417573333344</v>
      </c>
      <c r="G5" s="266">
        <f t="shared" si="2"/>
        <v>8517.0080079999989</v>
      </c>
      <c r="H5" s="266">
        <f t="shared" si="3"/>
        <v>6494.0835146666686</v>
      </c>
      <c r="J5" s="267"/>
    </row>
    <row r="6" spans="1:10" x14ac:dyDescent="0.25">
      <c r="A6" s="265">
        <v>3</v>
      </c>
      <c r="B6" s="263">
        <f>'3'!D14</f>
        <v>52</v>
      </c>
      <c r="C6" s="266">
        <f>'3'!G74</f>
        <v>8.9287903461538445</v>
      </c>
      <c r="D6" s="266">
        <f>'3'!G89</f>
        <v>6.9836706410256397</v>
      </c>
      <c r="E6" s="266">
        <f t="shared" si="0"/>
        <v>464.29709799999989</v>
      </c>
      <c r="F6" s="266">
        <f t="shared" si="1"/>
        <v>363.15087333333327</v>
      </c>
      <c r="G6" s="266">
        <f t="shared" si="2"/>
        <v>9285.9419599999983</v>
      </c>
      <c r="H6" s="266">
        <f t="shared" si="3"/>
        <v>7263.0174666666653</v>
      </c>
      <c r="J6" s="267"/>
    </row>
    <row r="7" spans="1:10" x14ac:dyDescent="0.25">
      <c r="A7" s="265">
        <v>4</v>
      </c>
      <c r="B7" s="263">
        <f>'4'!D14</f>
        <v>138.69999999999999</v>
      </c>
      <c r="C7" s="266">
        <f>'4'!G74</f>
        <v>5.2635082348512379</v>
      </c>
      <c r="D7" s="266">
        <f>'4'!G89</f>
        <v>4.0697348406238882</v>
      </c>
      <c r="E7" s="266">
        <f t="shared" si="0"/>
        <v>730.04859217386661</v>
      </c>
      <c r="F7" s="266">
        <f t="shared" si="1"/>
        <v>564.47222239453322</v>
      </c>
      <c r="G7" s="266">
        <f t="shared" si="2"/>
        <v>14600.971843477331</v>
      </c>
      <c r="H7" s="266">
        <f t="shared" si="3"/>
        <v>11289.444447890664</v>
      </c>
      <c r="J7" s="267"/>
    </row>
    <row r="8" spans="1:10" x14ac:dyDescent="0.25">
      <c r="A8" s="265">
        <v>5</v>
      </c>
      <c r="B8" s="263">
        <f>'5'!D14</f>
        <v>58.3</v>
      </c>
      <c r="C8" s="266">
        <f>'5'!G74</f>
        <v>7.2961357735849042</v>
      </c>
      <c r="D8" s="266">
        <f>'5'!G89</f>
        <v>5.5612091069182403</v>
      </c>
      <c r="E8" s="266">
        <f t="shared" si="0"/>
        <v>425.3647155999999</v>
      </c>
      <c r="F8" s="266">
        <f t="shared" si="1"/>
        <v>324.21849093333338</v>
      </c>
      <c r="G8" s="266">
        <f t="shared" si="2"/>
        <v>8507.2943119999982</v>
      </c>
      <c r="H8" s="266">
        <f t="shared" si="3"/>
        <v>6484.3698186666679</v>
      </c>
      <c r="J8" s="267"/>
    </row>
    <row r="9" spans="1:10" x14ac:dyDescent="0.25">
      <c r="A9" s="265">
        <v>6</v>
      </c>
      <c r="B9" s="263">
        <f>'6'!D14</f>
        <v>114.8</v>
      </c>
      <c r="C9" s="266">
        <f>'6'!G74</f>
        <v>7.6720978251056886</v>
      </c>
      <c r="D9" s="266">
        <f>'6'!G89</f>
        <v>5.9918985525969797</v>
      </c>
      <c r="E9" s="266">
        <f t="shared" si="0"/>
        <v>880.75683032213306</v>
      </c>
      <c r="F9" s="266">
        <f t="shared" si="1"/>
        <v>687.86995383813326</v>
      </c>
      <c r="G9" s="266">
        <f t="shared" si="2"/>
        <v>17615.136606442662</v>
      </c>
      <c r="H9" s="266">
        <f t="shared" si="3"/>
        <v>13757.399076762666</v>
      </c>
      <c r="J9" s="267"/>
    </row>
    <row r="10" spans="1:10" x14ac:dyDescent="0.25">
      <c r="A10" s="265">
        <v>7</v>
      </c>
      <c r="B10" s="263">
        <f>'7'!D14</f>
        <v>86.2</v>
      </c>
      <c r="C10" s="266">
        <f>'7'!G74</f>
        <v>5.157952969837587</v>
      </c>
      <c r="D10" s="266">
        <f>'7'!G89</f>
        <v>3.9845628924980661</v>
      </c>
      <c r="E10" s="266">
        <f t="shared" si="0"/>
        <v>444.61554599999999</v>
      </c>
      <c r="F10" s="266">
        <f t="shared" si="1"/>
        <v>343.46932133333331</v>
      </c>
      <c r="G10" s="266">
        <f t="shared" si="2"/>
        <v>8892.3109199999999</v>
      </c>
      <c r="H10" s="266">
        <f t="shared" si="3"/>
        <v>6869.386426666666</v>
      </c>
      <c r="J10" s="267"/>
    </row>
    <row r="11" spans="1:10" x14ac:dyDescent="0.25">
      <c r="A11" s="265">
        <v>8</v>
      </c>
      <c r="B11" s="263">
        <f>'8'!D14</f>
        <v>73.400000000000006</v>
      </c>
      <c r="C11" s="266">
        <f>'8'!G74</f>
        <v>7.0613613569482272</v>
      </c>
      <c r="D11" s="266">
        <f>'8'!G89</f>
        <v>5.3388439069028157</v>
      </c>
      <c r="E11" s="266">
        <f t="shared" si="0"/>
        <v>518.30392359999996</v>
      </c>
      <c r="F11" s="266">
        <f t="shared" si="1"/>
        <v>391.87114276666671</v>
      </c>
      <c r="G11" s="266">
        <f t="shared" si="2"/>
        <v>10366.078471999999</v>
      </c>
      <c r="H11" s="266">
        <f t="shared" si="3"/>
        <v>7837.4228553333342</v>
      </c>
      <c r="J11" s="267"/>
    </row>
    <row r="12" spans="1:10" x14ac:dyDescent="0.25">
      <c r="A12" s="265">
        <v>9</v>
      </c>
      <c r="B12" s="263">
        <f>'9'!D14</f>
        <v>113.4</v>
      </c>
      <c r="C12" s="266">
        <f>'9'!G74</f>
        <v>5.4653808121434446</v>
      </c>
      <c r="D12" s="266">
        <f>'9'!G89</f>
        <v>4.2309330613615526</v>
      </c>
      <c r="E12" s="266">
        <f t="shared" si="0"/>
        <v>619.77418409706661</v>
      </c>
      <c r="F12" s="266">
        <f t="shared" si="1"/>
        <v>479.78780915840008</v>
      </c>
      <c r="G12" s="266">
        <f t="shared" si="2"/>
        <v>12395.483681941332</v>
      </c>
      <c r="H12" s="266">
        <f t="shared" si="3"/>
        <v>9595.7561831680014</v>
      </c>
      <c r="J12" s="267"/>
    </row>
    <row r="13" spans="1:10" x14ac:dyDescent="0.25">
      <c r="A13" s="265">
        <v>10</v>
      </c>
      <c r="B13" s="263">
        <f>'10'!D14</f>
        <v>93</v>
      </c>
      <c r="C13" s="266">
        <f>'10'!G74</f>
        <v>5.1778737362007163</v>
      </c>
      <c r="D13" s="266">
        <f>'10'!G89</f>
        <v>4.0902799225806454</v>
      </c>
      <c r="E13" s="266">
        <f t="shared" si="0"/>
        <v>481.54225746666663</v>
      </c>
      <c r="F13" s="266">
        <f t="shared" si="1"/>
        <v>380.3960328</v>
      </c>
      <c r="G13" s="266">
        <f t="shared" si="2"/>
        <v>9630.8451493333323</v>
      </c>
      <c r="H13" s="266">
        <f t="shared" si="3"/>
        <v>7607.9206560000002</v>
      </c>
      <c r="J13" s="267"/>
    </row>
    <row r="14" spans="1:10" x14ac:dyDescent="0.25">
      <c r="A14" s="265">
        <v>11</v>
      </c>
      <c r="B14" s="263">
        <f>'11'!D14</f>
        <v>120.9</v>
      </c>
      <c r="C14" s="266">
        <f>'11'!G74</f>
        <v>9.0103321234969798</v>
      </c>
      <c r="D14" s="266">
        <f>'11'!G89</f>
        <v>7.5118137383161692</v>
      </c>
      <c r="E14" s="266">
        <f t="shared" si="0"/>
        <v>1089.3491537307848</v>
      </c>
      <c r="F14" s="266">
        <f t="shared" si="1"/>
        <v>908.17828096242488</v>
      </c>
      <c r="G14" s="266">
        <f t="shared" si="2"/>
        <v>21786.983074615695</v>
      </c>
      <c r="H14" s="266">
        <f t="shared" si="3"/>
        <v>18163.565619248497</v>
      </c>
      <c r="J14" s="267"/>
    </row>
    <row r="15" spans="1:10" x14ac:dyDescent="0.25">
      <c r="A15" s="265">
        <v>12</v>
      </c>
      <c r="B15" s="263">
        <f>'12'!D14</f>
        <v>112.6</v>
      </c>
      <c r="C15" s="266">
        <f>'12'!G74</f>
        <v>5.4732437503753699</v>
      </c>
      <c r="D15" s="266">
        <f>'12'!G89</f>
        <v>4.2372117331343988</v>
      </c>
      <c r="E15" s="266">
        <f t="shared" si="0"/>
        <v>616.28724629226667</v>
      </c>
      <c r="F15" s="266">
        <f t="shared" si="1"/>
        <v>477.11004115093328</v>
      </c>
      <c r="G15" s="266">
        <f t="shared" si="2"/>
        <v>12325.744925845334</v>
      </c>
      <c r="H15" s="266">
        <f t="shared" si="3"/>
        <v>9542.2008230186657</v>
      </c>
      <c r="J15" s="267"/>
    </row>
    <row r="16" spans="1:10" x14ac:dyDescent="0.25">
      <c r="A16" s="265">
        <v>13</v>
      </c>
      <c r="B16" s="263">
        <f>'13'!D14</f>
        <v>74.400000000000006</v>
      </c>
      <c r="C16" s="266">
        <f>'13'!G74</f>
        <v>6.0676048369175621</v>
      </c>
      <c r="D16" s="266">
        <f>'13'!G89</f>
        <v>4.7081125698924735</v>
      </c>
      <c r="E16" s="266">
        <f t="shared" si="0"/>
        <v>451.42979986666666</v>
      </c>
      <c r="F16" s="266">
        <f t="shared" si="1"/>
        <v>350.28357520000003</v>
      </c>
      <c r="G16" s="266">
        <f t="shared" si="2"/>
        <v>9028.5959973333338</v>
      </c>
      <c r="H16" s="266">
        <f t="shared" si="3"/>
        <v>7005.6715040000008</v>
      </c>
      <c r="J16" s="267"/>
    </row>
    <row r="17" spans="1:10" x14ac:dyDescent="0.25">
      <c r="A17" s="265">
        <v>14</v>
      </c>
      <c r="B17" s="263">
        <f>'14'!D14</f>
        <v>43</v>
      </c>
      <c r="C17" s="266">
        <f>'14'!G74</f>
        <v>10.532019655813952</v>
      </c>
      <c r="D17" s="266">
        <f>'14'!G89</f>
        <v>7.8658522728682181</v>
      </c>
      <c r="E17" s="266">
        <f t="shared" si="0"/>
        <v>452.87684519999993</v>
      </c>
      <c r="F17" s="266">
        <f t="shared" si="1"/>
        <v>338.23164773333338</v>
      </c>
      <c r="G17" s="266">
        <f t="shared" si="2"/>
        <v>9057.5369039999987</v>
      </c>
      <c r="H17" s="266">
        <f t="shared" si="3"/>
        <v>6764.6329546666675</v>
      </c>
      <c r="J17" s="267"/>
    </row>
    <row r="18" spans="1:10" x14ac:dyDescent="0.25">
      <c r="A18" s="265">
        <v>15</v>
      </c>
      <c r="B18" s="263">
        <f>'15'!D14</f>
        <v>48</v>
      </c>
      <c r="C18" s="266">
        <f>'15'!G74</f>
        <v>8.5143653638888885</v>
      </c>
      <c r="D18" s="266">
        <f>'15'!G89</f>
        <v>6.4071523500000005</v>
      </c>
      <c r="E18" s="266">
        <f t="shared" si="0"/>
        <v>408.68953746666665</v>
      </c>
      <c r="F18" s="266">
        <f t="shared" si="1"/>
        <v>307.54331280000002</v>
      </c>
      <c r="G18" s="266">
        <f t="shared" si="2"/>
        <v>8173.7907493333332</v>
      </c>
      <c r="H18" s="266">
        <f t="shared" si="3"/>
        <v>6150.8662560000002</v>
      </c>
      <c r="J18" s="267"/>
    </row>
    <row r="19" spans="1:10" x14ac:dyDescent="0.25">
      <c r="A19" s="265">
        <v>16</v>
      </c>
      <c r="B19" s="263">
        <f>'16'!D14</f>
        <v>84.3</v>
      </c>
      <c r="C19" s="266">
        <f>'16'!G74</f>
        <v>9.2043701650115803</v>
      </c>
      <c r="D19" s="266">
        <f>'16'!G89</f>
        <v>7.7313607932440824</v>
      </c>
      <c r="E19" s="266">
        <f t="shared" si="0"/>
        <v>775.92840491047616</v>
      </c>
      <c r="F19" s="266">
        <f t="shared" si="1"/>
        <v>651.75371487047607</v>
      </c>
      <c r="G19" s="266">
        <f t="shared" si="2"/>
        <v>15518.568098209524</v>
      </c>
      <c r="H19" s="266">
        <f t="shared" si="3"/>
        <v>13035.074297409521</v>
      </c>
      <c r="J19" s="267"/>
    </row>
    <row r="20" spans="1:10" x14ac:dyDescent="0.25">
      <c r="A20" s="265">
        <v>17</v>
      </c>
      <c r="B20" s="263">
        <f>'17'!D14</f>
        <v>42.1</v>
      </c>
      <c r="C20" s="266">
        <f>'17'!G74</f>
        <v>14.751217661260041</v>
      </c>
      <c r="D20" s="266">
        <f>'17'!G89</f>
        <v>11.801700083112769</v>
      </c>
      <c r="E20" s="266">
        <f t="shared" si="0"/>
        <v>621.0262635390477</v>
      </c>
      <c r="F20" s="266">
        <f t="shared" si="1"/>
        <v>496.85157349904756</v>
      </c>
      <c r="G20" s="266">
        <f t="shared" si="2"/>
        <v>12420.525270780954</v>
      </c>
      <c r="H20" s="266">
        <f t="shared" si="3"/>
        <v>9937.0314699809514</v>
      </c>
      <c r="J20" s="267"/>
    </row>
    <row r="21" spans="1:10" x14ac:dyDescent="0.25">
      <c r="A21" s="265">
        <v>18</v>
      </c>
      <c r="B21" s="263">
        <f>'18'!D14</f>
        <v>95</v>
      </c>
      <c r="C21" s="266">
        <f>'18'!G74</f>
        <v>8.5811004240200504</v>
      </c>
      <c r="D21" s="266">
        <f>'18'!G89</f>
        <v>7.2739984235989974</v>
      </c>
      <c r="E21" s="266">
        <f t="shared" si="0"/>
        <v>815.20454028190477</v>
      </c>
      <c r="F21" s="266">
        <f t="shared" si="1"/>
        <v>691.0298502419048</v>
      </c>
      <c r="G21" s="266">
        <f t="shared" si="2"/>
        <v>16304.090805638096</v>
      </c>
      <c r="H21" s="266">
        <f t="shared" si="3"/>
        <v>13820.597004838095</v>
      </c>
      <c r="J21" s="267"/>
    </row>
    <row r="22" spans="1:10" x14ac:dyDescent="0.25">
      <c r="G22" s="267"/>
      <c r="H22" s="267"/>
    </row>
    <row r="23" spans="1:10" x14ac:dyDescent="0.25">
      <c r="A23" s="268" t="s">
        <v>116</v>
      </c>
      <c r="B23" s="258">
        <f>SUM(B4:B21)</f>
        <v>1492</v>
      </c>
      <c r="C23" s="258" t="s">
        <v>153</v>
      </c>
      <c r="E23" s="269">
        <f>SUM(E4:E21)</f>
        <v>10755.676860947546</v>
      </c>
      <c r="F23" s="269">
        <f>SUM(F4:F21)</f>
        <v>8488.8207599158541</v>
      </c>
      <c r="G23" s="269">
        <f>SUM(G4:G21)</f>
        <v>215113.53721895089</v>
      </c>
      <c r="H23" s="269">
        <f>SUM(H4:H21)</f>
        <v>169776.41519831709</v>
      </c>
      <c r="J23" s="267"/>
    </row>
    <row r="25" spans="1:10" s="259" customFormat="1" ht="18.75" x14ac:dyDescent="0.25">
      <c r="A25" s="257"/>
      <c r="E25" s="270" t="s">
        <v>154</v>
      </c>
      <c r="F25" s="270"/>
      <c r="G25" s="271">
        <f>G23*10</f>
        <v>2151135.3721895088</v>
      </c>
      <c r="H25" s="271">
        <f>H23*10</f>
        <v>1697764.1519831708</v>
      </c>
      <c r="I25" s="271"/>
      <c r="J25" s="271"/>
    </row>
    <row r="26" spans="1:10" ht="21" customHeight="1" x14ac:dyDescent="0.25">
      <c r="B26" s="267"/>
    </row>
    <row r="27" spans="1:10" ht="21" customHeight="1" x14ac:dyDescent="0.25">
      <c r="B27" s="267"/>
    </row>
  </sheetData>
  <mergeCells count="6">
    <mergeCell ref="J1:J2"/>
    <mergeCell ref="A1:A2"/>
    <mergeCell ref="B1:B2"/>
    <mergeCell ref="C1:D1"/>
    <mergeCell ref="E1:F1"/>
    <mergeCell ref="G1:H1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7"/>
  <sheetViews>
    <sheetView zoomScale="70" zoomScaleNormal="70" workbookViewId="0">
      <selection activeCell="E25" sqref="E25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61">
        <v>2</v>
      </c>
      <c r="E4" s="360" t="s">
        <v>85</v>
      </c>
      <c r="F4" s="83" t="s">
        <v>86</v>
      </c>
      <c r="G4" s="84">
        <v>0</v>
      </c>
    </row>
    <row r="5" spans="1:9" ht="18" x14ac:dyDescent="0.25">
      <c r="A5" s="360"/>
      <c r="B5" s="361"/>
      <c r="C5" s="85" t="s">
        <v>87</v>
      </c>
      <c r="D5" s="86">
        <v>1</v>
      </c>
      <c r="E5" s="360"/>
      <c r="F5" s="87" t="s">
        <v>88</v>
      </c>
      <c r="G5" s="88">
        <v>8</v>
      </c>
    </row>
    <row r="6" spans="1:9" ht="18" x14ac:dyDescent="0.25">
      <c r="A6" s="360"/>
      <c r="B6" s="361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" x14ac:dyDescent="0.25">
      <c r="B9" s="362"/>
      <c r="C9" s="363"/>
      <c r="D9" s="363"/>
      <c r="E9" s="308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51" t="s">
        <v>93</v>
      </c>
      <c r="F12" s="366">
        <f>G74</f>
        <v>7.2670716791808863</v>
      </c>
      <c r="G12" s="357">
        <f>F12*D14</f>
        <v>425.85040039999996</v>
      </c>
      <c r="H12" s="96"/>
      <c r="I12" s="98"/>
    </row>
    <row r="13" spans="1:9" ht="18" x14ac:dyDescent="0.25">
      <c r="A13" s="365" t="s">
        <v>94</v>
      </c>
      <c r="B13" s="365"/>
      <c r="C13" s="365"/>
      <c r="D13" s="97">
        <v>20</v>
      </c>
      <c r="E13" s="351"/>
      <c r="F13" s="366"/>
      <c r="G13" s="357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58.6</v>
      </c>
      <c r="E14" s="351" t="s">
        <v>96</v>
      </c>
      <c r="F14" s="367">
        <f>G89</f>
        <v>5.5410268896473278</v>
      </c>
      <c r="G14" s="368">
        <f>F14*D14</f>
        <v>324.70417573333344</v>
      </c>
      <c r="H14" s="96"/>
    </row>
    <row r="15" spans="1:9" ht="18" x14ac:dyDescent="0.25">
      <c r="A15" s="354" t="s">
        <v>97</v>
      </c>
      <c r="B15" s="354"/>
      <c r="C15" s="354"/>
      <c r="D15" s="100">
        <f>D14*D13</f>
        <v>1172</v>
      </c>
      <c r="E15" s="351"/>
      <c r="F15" s="367"/>
      <c r="G15" s="368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1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-0.41399999999999998</v>
      </c>
      <c r="E27" s="124">
        <f>SUMIF(D27,"&gt;=0",D27)+D26</f>
        <v>1</v>
      </c>
      <c r="F27" s="125">
        <f>SUM(F19:F25)*E27</f>
        <v>2717.3910000000001</v>
      </c>
      <c r="G27" s="126">
        <f>SUM(G19:G25)*E27</f>
        <v>4307.7404444444437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2"/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0.1172</v>
      </c>
      <c r="E44" s="159" t="s">
        <v>119</v>
      </c>
      <c r="F44" s="160">
        <f>C44+(C44*D44)</f>
        <v>4468.8</v>
      </c>
      <c r="G44" s="161">
        <f>F44/12</f>
        <v>372.40000000000003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5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5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7"/>
      <c r="C49" s="171">
        <f>D14</f>
        <v>58.6</v>
      </c>
      <c r="D49" s="295">
        <v>7</v>
      </c>
      <c r="E49" s="304">
        <v>6.19</v>
      </c>
      <c r="F49" s="172">
        <f>(C49/D49)*E49</f>
        <v>51.819142857142865</v>
      </c>
      <c r="G49" s="173">
        <f>F49*D13</f>
        <v>1036.3828571428573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39"/>
      <c r="C51" s="339"/>
      <c r="D51" s="296">
        <v>0.4</v>
      </c>
      <c r="E51" s="177"/>
      <c r="F51" s="178">
        <f>F49*D51</f>
        <v>20.727657142857147</v>
      </c>
      <c r="G51" s="173">
        <f>F51*D13</f>
        <v>414.55314285714292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10363.828571428574</v>
      </c>
      <c r="F63" s="216">
        <f>E63/$D$12</f>
        <v>1036.3828571428573</v>
      </c>
      <c r="G63" s="217">
        <f>F63/$F$72</f>
        <v>0.12168391249243704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6.1788325920600302E-2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4145.5314285714294</v>
      </c>
      <c r="F65" s="216">
        <f>E65/$D$12</f>
        <v>414.55314285714292</v>
      </c>
      <c r="G65" s="217">
        <f>F65/$F$72</f>
        <v>4.8673564996974811E-2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4468.8</v>
      </c>
      <c r="F66" s="216">
        <f>G44</f>
        <v>372.40000000000003</v>
      </c>
      <c r="G66" s="217">
        <f>F66/$F$72</f>
        <v>4.3724274962546224E-2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43077.404444444437</v>
      </c>
      <c r="F67" s="216">
        <f>E67/$D$12</f>
        <v>4307.7404444444437</v>
      </c>
      <c r="G67" s="217">
        <f>F67/$F$72</f>
        <v>0.50578095504879139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68370.584444444437</v>
      </c>
      <c r="F68" s="216">
        <f>SUM(F63:F67)</f>
        <v>6657.328111111111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13674.116888888888</v>
      </c>
      <c r="F69" s="216">
        <f>E69/$D$12</f>
        <v>1367.4116888888889</v>
      </c>
      <c r="G69" s="217">
        <f>F69/$F$72</f>
        <v>0.16055071071959581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4922.6820799999996</v>
      </c>
      <c r="F70" s="216">
        <f>E70/$D$12</f>
        <v>492.26820799999996</v>
      </c>
      <c r="G70" s="217">
        <f>F70/$F$72</f>
        <v>5.7798255859054494E-2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86967.383413333329</v>
      </c>
      <c r="F72" s="220">
        <f>F68+F69+F70</f>
        <v>8517.0080079999989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7.2670716791808863</v>
      </c>
    </row>
    <row r="75" spans="1:8" s="285" customFormat="1" ht="18" x14ac:dyDescent="0.25">
      <c r="A75" s="279" t="s">
        <v>155</v>
      </c>
      <c r="B75" s="280"/>
      <c r="C75" s="280"/>
      <c r="D75" s="281"/>
      <c r="E75" s="282"/>
      <c r="F75" s="283"/>
      <c r="G75" s="284">
        <f>G74*D14</f>
        <v>425.85040039999996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10363.828571428574</v>
      </c>
      <c r="F78" s="240">
        <f>E78/$D$12</f>
        <v>1036.3828571428573</v>
      </c>
      <c r="G78" s="241">
        <f>F78/$F$87</f>
        <v>0.15958877874025207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8.103555574518638E-2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4145.5314285714294</v>
      </c>
      <c r="F80" s="240">
        <f>E80/$D$12</f>
        <v>414.55314285714292</v>
      </c>
      <c r="G80" s="241">
        <f>F80/$F$87</f>
        <v>6.3835511496100825E-2</v>
      </c>
    </row>
    <row r="81" spans="1:7" ht="18" x14ac:dyDescent="0.25">
      <c r="A81" s="242" t="s">
        <v>49</v>
      </c>
      <c r="B81" s="243"/>
      <c r="C81" s="243"/>
      <c r="D81" s="243"/>
      <c r="E81" s="239">
        <f>F44</f>
        <v>4468.8</v>
      </c>
      <c r="F81" s="240">
        <f>F66</f>
        <v>372.40000000000003</v>
      </c>
      <c r="G81" s="241">
        <f>F81/$F$87</f>
        <v>5.7344504295170712E-2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27173.91</v>
      </c>
      <c r="F82" s="240">
        <f>E82/$D$12</f>
        <v>2717.3910000000001</v>
      </c>
      <c r="G82" s="241">
        <f>F82/$F$87</f>
        <v>0.41844103080332501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52467.090000000004</v>
      </c>
      <c r="F83" s="244">
        <f>SUM(F78:F82)</f>
        <v>5066.9786666666678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10493.418000000001</v>
      </c>
      <c r="F84" s="244">
        <f>E84/D12</f>
        <v>1049.3418000000001</v>
      </c>
      <c r="G84" s="241">
        <f>F84/$F$87</f>
        <v>0.16158427861762129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3777.6304799999998</v>
      </c>
      <c r="F85" s="244">
        <f>E85/D12</f>
        <v>377.76304799999997</v>
      </c>
      <c r="G85" s="241">
        <f>F85/$F$87</f>
        <v>5.8170340302343651E-2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66738.138479999994</v>
      </c>
      <c r="F87" s="244">
        <f>F83+F84+F85</f>
        <v>6494.0835146666677</v>
      </c>
      <c r="G87" s="241">
        <f>SUM(G78:G85)</f>
        <v>0.99999999999999989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5.5410268896473278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324.70417573333344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7"/>
  <sheetViews>
    <sheetView zoomScale="70" zoomScaleNormal="70" workbookViewId="0">
      <selection activeCell="D52" sqref="D52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x14ac:dyDescent="0.25">
      <c r="A4" s="360" t="s">
        <v>84</v>
      </c>
      <c r="B4" s="361">
        <v>3</v>
      </c>
      <c r="E4" s="360" t="s">
        <v>85</v>
      </c>
      <c r="F4" s="83" t="s">
        <v>86</v>
      </c>
      <c r="G4" s="84">
        <v>0</v>
      </c>
    </row>
    <row r="5" spans="1:9" ht="18" x14ac:dyDescent="0.25">
      <c r="A5" s="360"/>
      <c r="B5" s="361"/>
      <c r="C5" s="85" t="s">
        <v>87</v>
      </c>
      <c r="D5" s="86">
        <v>1</v>
      </c>
      <c r="E5" s="360"/>
      <c r="F5" s="87" t="s">
        <v>88</v>
      </c>
      <c r="G5" s="88">
        <v>10</v>
      </c>
    </row>
    <row r="6" spans="1:9" ht="18" x14ac:dyDescent="0.25">
      <c r="A6" s="360"/>
      <c r="B6" s="361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8.9287903461538445</v>
      </c>
      <c r="G12" s="369">
        <f>F12*D14</f>
        <v>464.29709799999989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52</v>
      </c>
      <c r="E14" s="371" t="s">
        <v>96</v>
      </c>
      <c r="F14" s="352">
        <f>G89</f>
        <v>6.9836706410256397</v>
      </c>
      <c r="G14" s="369">
        <f>F14*D14</f>
        <v>363.15087333333327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1040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1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-0.48</v>
      </c>
      <c r="E27" s="124">
        <f>SUMIF(D27,"&gt;=0",D27)+D26</f>
        <v>1</v>
      </c>
      <c r="F27" s="125">
        <f>SUM(F19:F25)*E27</f>
        <v>2717.3910000000001</v>
      </c>
      <c r="G27" s="126">
        <f>SUM(G19:G25)*E27</f>
        <v>4307.7404444444437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2"/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0.10400000000000001</v>
      </c>
      <c r="E44" s="159" t="s">
        <v>119</v>
      </c>
      <c r="F44" s="160">
        <f>C44+(C44*D44)</f>
        <v>4416</v>
      </c>
      <c r="G44" s="161">
        <f>F44/12</f>
        <v>368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5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5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7"/>
      <c r="C49" s="171">
        <f>D14</f>
        <v>52</v>
      </c>
      <c r="D49" s="295">
        <v>5</v>
      </c>
      <c r="E49" s="304">
        <v>6.19</v>
      </c>
      <c r="F49" s="172">
        <f>(C49/D49)*E49</f>
        <v>64.376000000000005</v>
      </c>
      <c r="G49" s="173">
        <f>F49*D13</f>
        <v>1287.52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39"/>
      <c r="C51" s="339"/>
      <c r="D51" s="296">
        <v>0.6</v>
      </c>
      <c r="E51" s="177"/>
      <c r="F51" s="178">
        <f>F49*D51</f>
        <v>38.625599999999999</v>
      </c>
      <c r="G51" s="173">
        <f>F51*D13</f>
        <v>772.51199999999994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12875.2</v>
      </c>
      <c r="F63" s="216">
        <f>E63/$D$12</f>
        <v>1287.52</v>
      </c>
      <c r="G63" s="217">
        <f>F63/$F$72</f>
        <v>0.13865260040888736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5.6671866885830369E-2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7725.12</v>
      </c>
      <c r="F65" s="216">
        <f>E65/$D$12</f>
        <v>772.51199999999994</v>
      </c>
      <c r="G65" s="217">
        <f>F65/$F$72</f>
        <v>8.3191560245332405E-2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4416</v>
      </c>
      <c r="F66" s="216">
        <f>G44</f>
        <v>368</v>
      </c>
      <c r="G66" s="217">
        <f>F66/$F$72</f>
        <v>3.9629797556908278E-2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43077.404444444437</v>
      </c>
      <c r="F67" s="216">
        <f>E67/$D$12</f>
        <v>4307.7404444444437</v>
      </c>
      <c r="G67" s="217">
        <f>F67/$F$72</f>
        <v>0.46389913516586795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74408.744444444441</v>
      </c>
      <c r="F68" s="216">
        <f>SUM(F63:F67)</f>
        <v>7262.02411111111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14881.748888888889</v>
      </c>
      <c r="F69" s="216">
        <f>E69/$D$12</f>
        <v>1488.174888888889</v>
      </c>
      <c r="G69" s="217">
        <f>F69/$F$72</f>
        <v>0.16026105863027484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5357.4295999999995</v>
      </c>
      <c r="F70" s="216">
        <f>E70/$D$12</f>
        <v>535.74295999999993</v>
      </c>
      <c r="G70" s="217">
        <f>F70/$F$72</f>
        <v>5.7693981106898932E-2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94647.922933333335</v>
      </c>
      <c r="F72" s="220">
        <f>F68+F69+F70</f>
        <v>9285.9419599999983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8.9287903461538445</v>
      </c>
    </row>
    <row r="75" spans="1:8" s="285" customFormat="1" ht="18" x14ac:dyDescent="0.25">
      <c r="A75" s="279" t="s">
        <v>155</v>
      </c>
      <c r="B75" s="280"/>
      <c r="C75" s="280"/>
      <c r="D75" s="281"/>
      <c r="E75" s="282"/>
      <c r="F75" s="283"/>
      <c r="G75" s="284">
        <f>G74*D14</f>
        <v>464.29709799999989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12875.2</v>
      </c>
      <c r="F78" s="240">
        <f>E78/$D$12</f>
        <v>1287.52</v>
      </c>
      <c r="G78" s="241">
        <f>F78/$F$87</f>
        <v>0.17727067378111408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7.2456340506115824E-2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7725.12</v>
      </c>
      <c r="F80" s="240">
        <f>E80/$D$12</f>
        <v>772.51199999999994</v>
      </c>
      <c r="G80" s="241">
        <f>F80/$F$87</f>
        <v>0.10636240426866844</v>
      </c>
    </row>
    <row r="81" spans="1:7" ht="18" x14ac:dyDescent="0.25">
      <c r="A81" s="242" t="s">
        <v>49</v>
      </c>
      <c r="B81" s="243"/>
      <c r="C81" s="243"/>
      <c r="D81" s="243"/>
      <c r="E81" s="239">
        <f>F44</f>
        <v>4416</v>
      </c>
      <c r="F81" s="240">
        <f>F66</f>
        <v>368</v>
      </c>
      <c r="G81" s="241">
        <f>F81/$F$87</f>
        <v>5.0667646290115866E-2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27173.91</v>
      </c>
      <c r="F82" s="240">
        <f>E82/$D$12</f>
        <v>2717.3910000000001</v>
      </c>
      <c r="G82" s="241">
        <f>F82/$F$87</f>
        <v>0.37414077722810934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58505.25</v>
      </c>
      <c r="F83" s="244">
        <f>SUM(F78:F82)</f>
        <v>5671.6746666666659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11701.050000000001</v>
      </c>
      <c r="F84" s="244">
        <f>E84/D12</f>
        <v>1170.105</v>
      </c>
      <c r="G84" s="241">
        <f>F84/$F$87</f>
        <v>0.16110452788667398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4212.3779999999997</v>
      </c>
      <c r="F85" s="244">
        <f>E85/D12</f>
        <v>421.23779999999999</v>
      </c>
      <c r="G85" s="241">
        <f>F85/$F$87</f>
        <v>5.7997630039202636E-2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74418.678</v>
      </c>
      <c r="F87" s="244">
        <f>F83+F84+F85</f>
        <v>7263.0174666666653</v>
      </c>
      <c r="G87" s="241">
        <f>SUM(G78:G85)</f>
        <v>1.0000000000000002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6.9836706410256397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363.15087333333327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7"/>
  <sheetViews>
    <sheetView zoomScale="70" zoomScaleNormal="70" workbookViewId="0">
      <selection activeCell="F12" sqref="F12:F15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customHeight="1" x14ac:dyDescent="0.25">
      <c r="A4" s="360" t="s">
        <v>84</v>
      </c>
      <c r="B4" s="361">
        <v>4</v>
      </c>
      <c r="E4" s="360" t="s">
        <v>85</v>
      </c>
      <c r="F4" s="83" t="s">
        <v>86</v>
      </c>
      <c r="G4" s="84">
        <v>4</v>
      </c>
    </row>
    <row r="5" spans="1:9" ht="18" customHeight="1" x14ac:dyDescent="0.25">
      <c r="A5" s="360"/>
      <c r="B5" s="361"/>
      <c r="C5" s="85" t="s">
        <v>87</v>
      </c>
      <c r="D5" s="86">
        <v>3</v>
      </c>
      <c r="E5" s="360"/>
      <c r="F5" s="87" t="s">
        <v>88</v>
      </c>
      <c r="G5" s="88">
        <v>11</v>
      </c>
    </row>
    <row r="6" spans="1:9" ht="18" customHeight="1" x14ac:dyDescent="0.25">
      <c r="A6" s="360"/>
      <c r="B6" s="361"/>
      <c r="C6" s="89"/>
      <c r="E6" s="360"/>
      <c r="F6" s="90" t="s">
        <v>89</v>
      </c>
      <c r="G6" s="91">
        <v>9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5.2635082348512379</v>
      </c>
      <c r="G12" s="369">
        <f>F12*D14</f>
        <v>730.04859217386661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138.69999999999999</v>
      </c>
      <c r="E14" s="371" t="s">
        <v>96</v>
      </c>
      <c r="F14" s="352">
        <f>G89</f>
        <v>4.0697348406238882</v>
      </c>
      <c r="G14" s="369">
        <f>F14*D14</f>
        <v>564.47222239453322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2774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3</v>
      </c>
      <c r="D26" s="119">
        <f>IF(D5&lt;3,100%,125%)</f>
        <v>1.25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0.3869999999999999</v>
      </c>
      <c r="E27" s="124">
        <f>SUMIF(D27,"&gt;=0",D27)+D26</f>
        <v>1.637</v>
      </c>
      <c r="F27" s="125">
        <f>SUM(F19:F25)*E27</f>
        <v>4448.3690670000005</v>
      </c>
      <c r="G27" s="126">
        <f>SUM(G19:G25)*E27</f>
        <v>7051.7711075555544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2"/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0.27739999999999998</v>
      </c>
      <c r="E44" s="159" t="s">
        <v>119</v>
      </c>
      <c r="F44" s="160">
        <f>C44+(C44*D44)</f>
        <v>5109.6000000000004</v>
      </c>
      <c r="G44" s="161">
        <f>F44/12</f>
        <v>425.8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138.69999999999999</v>
      </c>
      <c r="D49" s="295">
        <v>7</v>
      </c>
      <c r="E49" s="304">
        <v>6.19</v>
      </c>
      <c r="F49" s="172">
        <f>(C49/D49)*E49</f>
        <v>122.65042857142858</v>
      </c>
      <c r="G49" s="173">
        <f>F49*D13</f>
        <v>2453.0085714285715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49.060171428571437</v>
      </c>
      <c r="G51" s="173">
        <f>F51*D13</f>
        <v>981.20342857142873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24530.085714285713</v>
      </c>
      <c r="F63" s="216">
        <f>E63/$D$12</f>
        <v>2453.0085714285715</v>
      </c>
      <c r="G63" s="217">
        <f>F63/$F$72</f>
        <v>0.16800310265130741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3.6042235565419446E-2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9812.0342857142859</v>
      </c>
      <c r="F65" s="216">
        <f>E65/$D$12</f>
        <v>981.20342857142862</v>
      </c>
      <c r="G65" s="217">
        <f>F65/$F$72</f>
        <v>6.7201241060522957E-2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5109.6000000000004</v>
      </c>
      <c r="F66" s="216">
        <f>G44</f>
        <v>425.8</v>
      </c>
      <c r="G66" s="217">
        <f>F66/$F$72</f>
        <v>2.916244237469829E-2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70517.711075555548</v>
      </c>
      <c r="F67" s="216">
        <f>E67/$D$12</f>
        <v>7051.7711075555544</v>
      </c>
      <c r="G67" s="217">
        <f>F67/$F$72</f>
        <v>0.48296587262482665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116284.45107555555</v>
      </c>
      <c r="F68" s="216">
        <f>SUM(F63:F67)</f>
        <v>11438.034774222222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23256.890215111111</v>
      </c>
      <c r="F69" s="216">
        <f>E69/$D$12</f>
        <v>2325.6890215111112</v>
      </c>
      <c r="G69" s="217">
        <f>F69/$F$72</f>
        <v>0.15928316597295969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8372.48047744</v>
      </c>
      <c r="F70" s="216">
        <f>E70/$D$12</f>
        <v>837.24804774400002</v>
      </c>
      <c r="G70" s="217">
        <f>F70/$F$72</f>
        <v>5.7341939750265483E-2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147913.82176810666</v>
      </c>
      <c r="F72" s="220">
        <f>F68+F69+F70</f>
        <v>14600.971843477333</v>
      </c>
      <c r="G72" s="217">
        <f>SUM(G63:G70)</f>
        <v>0.99999999999999989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5.2635082348512379</v>
      </c>
    </row>
    <row r="75" spans="1:8" s="285" customFormat="1" ht="18" x14ac:dyDescent="0.25">
      <c r="A75" s="279" t="s">
        <v>155</v>
      </c>
      <c r="B75" s="280"/>
      <c r="C75" s="280"/>
      <c r="D75" s="281"/>
      <c r="E75" s="282"/>
      <c r="F75" s="283"/>
      <c r="G75" s="284">
        <f>G74*D14</f>
        <v>730.04859217386661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24530.085714285713</v>
      </c>
      <c r="F78" s="240">
        <f>E78/$D$12</f>
        <v>2453.0085714285715</v>
      </c>
      <c r="G78" s="241">
        <f>F78/$F$87</f>
        <v>0.21728337322098207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4.6614487461780478E-2</v>
      </c>
    </row>
    <row r="80" spans="1:8" ht="18" x14ac:dyDescent="0.25">
      <c r="A80" s="331" t="s">
        <v>136</v>
      </c>
      <c r="B80" s="331"/>
      <c r="C80" s="331"/>
      <c r="D80" s="331"/>
      <c r="E80" s="239">
        <f>E65</f>
        <v>9812.0342857142859</v>
      </c>
      <c r="F80" s="240">
        <f>E80/$D$12</f>
        <v>981.20342857142862</v>
      </c>
      <c r="G80" s="241">
        <f>F80/$F$87</f>
        <v>8.6913349288392824E-2</v>
      </c>
    </row>
    <row r="81" spans="1:7" ht="18" x14ac:dyDescent="0.25">
      <c r="A81" s="242" t="s">
        <v>49</v>
      </c>
      <c r="B81" s="243"/>
      <c r="C81" s="243"/>
      <c r="D81" s="243"/>
      <c r="E81" s="239">
        <f>F44</f>
        <v>5109.6000000000004</v>
      </c>
      <c r="F81" s="240">
        <f>F66</f>
        <v>425.8</v>
      </c>
      <c r="G81" s="241">
        <f>F81/$F$87</f>
        <v>3.7716647791252209E-2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44483.690670000004</v>
      </c>
      <c r="F82" s="240">
        <f>E82/$D$12</f>
        <v>4448.3690670000005</v>
      </c>
      <c r="G82" s="241">
        <f>F82/$F$87</f>
        <v>0.39402904966073327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90250.430670000002</v>
      </c>
      <c r="F83" s="244">
        <f>SUM(F78:F82)</f>
        <v>8834.6327336666673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18050.086134000001</v>
      </c>
      <c r="F84" s="244">
        <f>E84/D12</f>
        <v>1805.0086134000001</v>
      </c>
      <c r="G84" s="241">
        <f>F84/$F$87</f>
        <v>0.15988462689474947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6498.0310082400001</v>
      </c>
      <c r="F85" s="244">
        <f>E85/D12</f>
        <v>649.80310082400001</v>
      </c>
      <c r="G85" s="241">
        <f>F85/$F$87</f>
        <v>5.7558465682109809E-2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114798.54781223999</v>
      </c>
      <c r="F87" s="244">
        <f>F83+F84+F85</f>
        <v>11289.444447890666</v>
      </c>
      <c r="G87" s="241">
        <f>SUM(G78:G85)</f>
        <v>1.0000000000000002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4.0697348406238882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564.47222239453322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97"/>
  <sheetViews>
    <sheetView zoomScale="70" zoomScaleNormal="70" workbookViewId="0">
      <selection activeCell="F12" sqref="F12:F15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customHeight="1" x14ac:dyDescent="0.25">
      <c r="A4" s="360" t="s">
        <v>84</v>
      </c>
      <c r="B4" s="361">
        <v>5</v>
      </c>
      <c r="E4" s="360" t="s">
        <v>85</v>
      </c>
      <c r="F4" s="83" t="s">
        <v>86</v>
      </c>
      <c r="G4" s="84">
        <v>0</v>
      </c>
    </row>
    <row r="5" spans="1:9" ht="18" customHeight="1" x14ac:dyDescent="0.25">
      <c r="A5" s="360"/>
      <c r="B5" s="361"/>
      <c r="C5" s="85" t="s">
        <v>87</v>
      </c>
      <c r="D5" s="86">
        <v>1</v>
      </c>
      <c r="E5" s="360"/>
      <c r="F5" s="87" t="s">
        <v>88</v>
      </c>
      <c r="G5" s="88">
        <v>14</v>
      </c>
    </row>
    <row r="6" spans="1:9" ht="18" customHeight="1" x14ac:dyDescent="0.25">
      <c r="A6" s="360"/>
      <c r="B6" s="361"/>
      <c r="C6" s="89"/>
      <c r="E6" s="360"/>
      <c r="F6" s="90" t="s">
        <v>89</v>
      </c>
      <c r="G6" s="91">
        <v>0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7.2961357735849042</v>
      </c>
      <c r="G12" s="369">
        <f>F12*D14</f>
        <v>425.3647155999999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58.3</v>
      </c>
      <c r="E14" s="371" t="s">
        <v>96</v>
      </c>
      <c r="F14" s="352">
        <f>G89</f>
        <v>5.5612091069182403</v>
      </c>
      <c r="G14" s="369">
        <f>F14*D14</f>
        <v>324.21849093333338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1166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1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-0.41700000000000004</v>
      </c>
      <c r="E27" s="124">
        <f>SUMIF(D27,"&gt;=0",D27)+D26</f>
        <v>1</v>
      </c>
      <c r="F27" s="125">
        <f>SUM(F19:F25)*E27</f>
        <v>2717.3910000000001</v>
      </c>
      <c r="G27" s="126">
        <f>SUM(G19:G25)*E27</f>
        <v>4307.7404444444437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2"/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0.1166</v>
      </c>
      <c r="E44" s="159" t="s">
        <v>119</v>
      </c>
      <c r="F44" s="160">
        <f>C44+(C44*D44)</f>
        <v>4466.3999999999996</v>
      </c>
      <c r="G44" s="161">
        <f>F44/12</f>
        <v>372.2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58.3</v>
      </c>
      <c r="D49" s="295">
        <v>7</v>
      </c>
      <c r="E49" s="304">
        <v>6.19</v>
      </c>
      <c r="F49" s="172">
        <f>(C49/D49)*E49</f>
        <v>51.55385714285714</v>
      </c>
      <c r="G49" s="173">
        <f>F49*D13</f>
        <v>1031.0771428571429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20.621542857142856</v>
      </c>
      <c r="G51" s="173">
        <f>F51*D13</f>
        <v>412.43085714285712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10310.771428571428</v>
      </c>
      <c r="F63" s="216">
        <f>E63/$D$12</f>
        <v>1031.0771428571429</v>
      </c>
      <c r="G63" s="217">
        <f>F63/$F$72</f>
        <v>0.12119918566855656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6.1858876320331393E-2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4124.3085714285717</v>
      </c>
      <c r="F65" s="216">
        <f>E65/$D$12</f>
        <v>412.43085714285718</v>
      </c>
      <c r="G65" s="217">
        <f>F65/$F$72</f>
        <v>4.8479674267422626E-2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4466.3999999999996</v>
      </c>
      <c r="F66" s="216">
        <f>G44</f>
        <v>372.2</v>
      </c>
      <c r="G66" s="217">
        <f>F66/$F$72</f>
        <v>4.3750690448664954E-2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43077.404444444437</v>
      </c>
      <c r="F67" s="216">
        <f>E67/$D$12</f>
        <v>4307.7404444444437</v>
      </c>
      <c r="G67" s="217">
        <f>F67/$F$72</f>
        <v>0.50635845974767124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68293.90444444443</v>
      </c>
      <c r="F68" s="216">
        <f>SUM(F63:F67)</f>
        <v>6649.7001111111103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13658.780888888887</v>
      </c>
      <c r="F69" s="216">
        <f>E69/$D$12</f>
        <v>1365.8780888888887</v>
      </c>
      <c r="G69" s="217">
        <f>F69/$F$72</f>
        <v>0.16055375996128921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4917.1611199999988</v>
      </c>
      <c r="F70" s="216">
        <f>E70/$D$12</f>
        <v>491.7161119999999</v>
      </c>
      <c r="G70" s="217">
        <f>F70/$F$72</f>
        <v>5.7799353586064112E-2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86869.846453333317</v>
      </c>
      <c r="F72" s="220">
        <f>F68+F69+F70</f>
        <v>8507.2943119999982</v>
      </c>
      <c r="G72" s="217">
        <f>SUM(G63:G70)</f>
        <v>1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7.2961357735849042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425.3647155999999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10310.771428571428</v>
      </c>
      <c r="F78" s="240">
        <f>E78/$D$12</f>
        <v>1031.0771428571429</v>
      </c>
      <c r="G78" s="241">
        <f>F78/$F$87</f>
        <v>0.15900961414769454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8.1156948382514651E-2</v>
      </c>
    </row>
    <row r="80" spans="1:8" ht="18" x14ac:dyDescent="0.25">
      <c r="A80" s="331" t="s">
        <v>136</v>
      </c>
      <c r="B80" s="331"/>
      <c r="C80" s="331"/>
      <c r="D80" s="331"/>
      <c r="E80" s="239">
        <f>E78*PARÂMETROS!D15</f>
        <v>4124.3085714285717</v>
      </c>
      <c r="F80" s="240">
        <f>E80/$D$12</f>
        <v>412.43085714285718</v>
      </c>
      <c r="G80" s="241">
        <f>F80/$F$87</f>
        <v>6.3603845659077826E-2</v>
      </c>
    </row>
    <row r="81" spans="1:7" ht="18" x14ac:dyDescent="0.25">
      <c r="A81" s="242" t="s">
        <v>49</v>
      </c>
      <c r="B81" s="243"/>
      <c r="C81" s="243"/>
      <c r="D81" s="243"/>
      <c r="E81" s="239">
        <f>F44</f>
        <v>4466.3999999999996</v>
      </c>
      <c r="F81" s="240">
        <f>F66</f>
        <v>372.2</v>
      </c>
      <c r="G81" s="241">
        <f>F81/$F$87</f>
        <v>5.7399563937353078E-2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27173.91</v>
      </c>
      <c r="F82" s="240">
        <f>E82/$D$12</f>
        <v>2717.3910000000001</v>
      </c>
      <c r="G82" s="241">
        <f>F82/$F$87</f>
        <v>0.41906786256659811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52390.41</v>
      </c>
      <c r="F83" s="244">
        <f>SUM(F78:F82)</f>
        <v>5059.3506666666672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10478.082000000002</v>
      </c>
      <c r="F84" s="244">
        <f>E84/D12</f>
        <v>1047.8082000000002</v>
      </c>
      <c r="G84" s="241">
        <f>F84/$F$87</f>
        <v>0.16158982743144237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3772.10952</v>
      </c>
      <c r="F85" s="244">
        <f>E85/D12</f>
        <v>377.21095200000002</v>
      </c>
      <c r="G85" s="241">
        <f>F85/$F$87</f>
        <v>5.8172337875319252E-2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66640.601520000011</v>
      </c>
      <c r="F87" s="244">
        <f>F83+F84+F85</f>
        <v>6484.3698186666679</v>
      </c>
      <c r="G87" s="241">
        <f>SUM(G78:G85)</f>
        <v>0.99999999999999978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5.5612091069182403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324.21849093333338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7"/>
  <sheetViews>
    <sheetView zoomScale="70" zoomScaleNormal="70" workbookViewId="0">
      <selection activeCell="G20" sqref="G20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customHeight="1" x14ac:dyDescent="0.25">
      <c r="A4" s="360" t="s">
        <v>84</v>
      </c>
      <c r="B4" s="361">
        <v>6</v>
      </c>
      <c r="E4" s="360" t="s">
        <v>85</v>
      </c>
      <c r="F4" s="83" t="s">
        <v>86</v>
      </c>
      <c r="G4" s="84">
        <v>7</v>
      </c>
    </row>
    <row r="5" spans="1:9" ht="18" customHeight="1" x14ac:dyDescent="0.25">
      <c r="A5" s="360"/>
      <c r="B5" s="361"/>
      <c r="C5" s="85" t="s">
        <v>87</v>
      </c>
      <c r="D5" s="86">
        <v>3</v>
      </c>
      <c r="E5" s="360"/>
      <c r="F5" s="87" t="s">
        <v>88</v>
      </c>
      <c r="G5" s="309">
        <v>18</v>
      </c>
    </row>
    <row r="6" spans="1:9" ht="18" customHeight="1" x14ac:dyDescent="0.25">
      <c r="A6" s="360"/>
      <c r="B6" s="361"/>
      <c r="C6" s="89"/>
      <c r="E6" s="360"/>
      <c r="F6" s="90" t="s">
        <v>89</v>
      </c>
      <c r="G6" s="91">
        <v>11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20</v>
      </c>
      <c r="G9" s="303">
        <v>150000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  <c r="I11" s="98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7.6720978251056886</v>
      </c>
      <c r="G12" s="369">
        <f>F12*D14</f>
        <v>880.75683032213306</v>
      </c>
      <c r="H12" s="96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114.8</v>
      </c>
      <c r="E14" s="371" t="s">
        <v>96</v>
      </c>
      <c r="F14" s="352">
        <f>G89</f>
        <v>5.9918985525969797</v>
      </c>
      <c r="G14" s="369">
        <f>F14*D14</f>
        <v>687.86995383813326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2296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3</v>
      </c>
      <c r="D26" s="119">
        <f>IF(D5&lt;3,100%,125%)</f>
        <v>1.25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0.14799999999999996</v>
      </c>
      <c r="E27" s="124">
        <f>SUMIF(D27,"&gt;=0",D27)+D26</f>
        <v>1.3979999999999999</v>
      </c>
      <c r="F27" s="125">
        <f>SUM(F19:F25)*E27</f>
        <v>3798.9126179999998</v>
      </c>
      <c r="G27" s="126">
        <f>SUM(G19:G25)*E27</f>
        <v>6022.2211413333316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7500</v>
      </c>
      <c r="D44" s="158">
        <f>D14*0.2%</f>
        <v>0.2296</v>
      </c>
      <c r="E44" s="159" t="s">
        <v>119</v>
      </c>
      <c r="F44" s="160">
        <f>C44+(C44*D44)</f>
        <v>9222</v>
      </c>
      <c r="G44" s="161">
        <f>F44/12</f>
        <v>768.5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14</v>
      </c>
      <c r="B49" s="338"/>
      <c r="C49" s="171">
        <f>D14</f>
        <v>114.8</v>
      </c>
      <c r="D49" s="295">
        <v>3.5</v>
      </c>
      <c r="E49" s="304">
        <v>6.17</v>
      </c>
      <c r="F49" s="172">
        <f>(C49/D49)*E49</f>
        <v>202.37599999999998</v>
      </c>
      <c r="G49" s="173">
        <f>F49*D13</f>
        <v>4047.5199999999995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0.6</v>
      </c>
      <c r="E51" s="177"/>
      <c r="F51" s="178">
        <f>F49*D51</f>
        <v>121.42559999999997</v>
      </c>
      <c r="G51" s="173">
        <f>F51*D13</f>
        <v>2428.5119999999997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40475.199999999997</v>
      </c>
      <c r="F63" s="216">
        <f>E63/$D$12</f>
        <v>4047.5199999999995</v>
      </c>
      <c r="G63" s="217">
        <f>F63/$F$72</f>
        <v>0.22977511275840098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2.9874969375723849E-2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24285.119999999999</v>
      </c>
      <c r="F65" s="216">
        <f>E65/$D$12</f>
        <v>2428.5119999999997</v>
      </c>
      <c r="G65" s="217">
        <f>F65/$F$72</f>
        <v>0.13786506765504059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9222</v>
      </c>
      <c r="F66" s="216">
        <f>G44</f>
        <v>768.5</v>
      </c>
      <c r="G66" s="217">
        <f>F66/$F$72</f>
        <v>4.3627251787472621E-2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60222.211413333316</v>
      </c>
      <c r="F67" s="216">
        <f>E67/$D$12</f>
        <v>6022.2211413333316</v>
      </c>
      <c r="G67" s="217">
        <f>F67/$F$72</f>
        <v>0.34187762921638254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140519.55141333331</v>
      </c>
      <c r="F68" s="216">
        <f>SUM(F63:F67)</f>
        <v>13793.004807999998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28103.910282666664</v>
      </c>
      <c r="F69" s="216">
        <f>E69/$D$12</f>
        <v>2810.3910282666666</v>
      </c>
      <c r="G69" s="217">
        <f>F69/$F$72</f>
        <v>0.159544095005132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10117.407701759998</v>
      </c>
      <c r="F70" s="216">
        <f>E70/$D$12</f>
        <v>1011.7407701759997</v>
      </c>
      <c r="G70" s="217">
        <f>F70/$F$72</f>
        <v>5.7435874201847509E-2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178740.86939775996</v>
      </c>
      <c r="F72" s="220">
        <f>F68+F69+F70</f>
        <v>17615.136606442662</v>
      </c>
      <c r="G72" s="217">
        <f>SUM(G63:G70)</f>
        <v>1.0000000000000002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7.6720978251056886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880.75683032213306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40475.199999999997</v>
      </c>
      <c r="F78" s="240">
        <f>E78/$D$12</f>
        <v>4047.5199999999995</v>
      </c>
      <c r="G78" s="241">
        <f>F78/$F$87</f>
        <v>0.29420677392695405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3.8252264380085284E-2</v>
      </c>
    </row>
    <row r="80" spans="1:8" ht="18" x14ac:dyDescent="0.25">
      <c r="A80" s="331" t="s">
        <v>136</v>
      </c>
      <c r="B80" s="331"/>
      <c r="C80" s="331"/>
      <c r="D80" s="331"/>
      <c r="E80" s="239">
        <f>E78*PARÂMETROS!D15</f>
        <v>16190.08</v>
      </c>
      <c r="F80" s="240">
        <f>E80/$D$12</f>
        <v>1619.008</v>
      </c>
      <c r="G80" s="241">
        <f>F80/$F$87</f>
        <v>0.11768270957078163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9222</v>
      </c>
      <c r="F81" s="240">
        <f>F66</f>
        <v>768.5</v>
      </c>
      <c r="G81" s="241">
        <f>F81/$F$87</f>
        <v>5.5860849548084804E-2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37989.126179999999</v>
      </c>
      <c r="F82" s="240">
        <f>E82/$D$12</f>
        <v>3798.9126179999998</v>
      </c>
      <c r="G82" s="241">
        <f>F82/$F$87</f>
        <v>0.27613596122370715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110191.42618000001</v>
      </c>
      <c r="F83" s="244">
        <f>SUM(F78:F82)</f>
        <v>10760.192284666666</v>
      </c>
      <c r="G83" s="241"/>
    </row>
    <row r="84" spans="1:7" ht="18" x14ac:dyDescent="0.25">
      <c r="A84" s="242"/>
      <c r="B84" s="245" t="s">
        <v>139</v>
      </c>
      <c r="C84" s="246">
        <f>C69</f>
        <v>0.2</v>
      </c>
      <c r="D84" s="237"/>
      <c r="E84" s="244">
        <f>E83*C84</f>
        <v>22038.285236000003</v>
      </c>
      <c r="F84" s="244">
        <f>E84/D12</f>
        <v>2203.8285236000002</v>
      </c>
      <c r="G84" s="241">
        <f>F84/$F$87</f>
        <v>0.1601922362870494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7933.7826849599996</v>
      </c>
      <c r="F85" s="244">
        <f>E85/D12</f>
        <v>793.37826849599992</v>
      </c>
      <c r="G85" s="241">
        <f>F85/$F$87</f>
        <v>5.7669205063337774E-2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140163.49410096</v>
      </c>
      <c r="F87" s="244">
        <f>F83+F84+F85</f>
        <v>13757.399076762666</v>
      </c>
      <c r="G87" s="241">
        <f>SUM(G78:G85)</f>
        <v>1.0000000000000002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5.9918985525969797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687.86995383813326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7"/>
  <sheetViews>
    <sheetView zoomScale="70" zoomScaleNormal="70" workbookViewId="0">
      <selection activeCell="D14" sqref="D14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customHeight="1" x14ac:dyDescent="0.25">
      <c r="A4" s="360" t="s">
        <v>84</v>
      </c>
      <c r="B4" s="361">
        <v>7</v>
      </c>
      <c r="E4" s="360" t="s">
        <v>85</v>
      </c>
      <c r="F4" s="83" t="s">
        <v>86</v>
      </c>
      <c r="G4" s="84">
        <v>0</v>
      </c>
    </row>
    <row r="5" spans="1:9" ht="18" customHeight="1" x14ac:dyDescent="0.25">
      <c r="A5" s="360"/>
      <c r="B5" s="361"/>
      <c r="C5" s="85" t="s">
        <v>87</v>
      </c>
      <c r="D5" s="86">
        <v>1</v>
      </c>
      <c r="E5" s="360"/>
      <c r="F5" s="87" t="s">
        <v>88</v>
      </c>
      <c r="G5" s="88">
        <v>0</v>
      </c>
    </row>
    <row r="6" spans="1:9" ht="18" customHeight="1" x14ac:dyDescent="0.25">
      <c r="A6" s="360"/>
      <c r="B6" s="361"/>
      <c r="C6" s="89"/>
      <c r="E6" s="360"/>
      <c r="F6" s="90" t="s">
        <v>89</v>
      </c>
      <c r="G6" s="91">
        <v>9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  <c r="I8" s="98"/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5.157952969837587</v>
      </c>
      <c r="G12" s="369">
        <f>F12*D14</f>
        <v>444.61554599999999</v>
      </c>
      <c r="H12" s="96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86.2</v>
      </c>
      <c r="E14" s="371" t="s">
        <v>96</v>
      </c>
      <c r="F14" s="352">
        <f>G89</f>
        <v>3.9845628924980661</v>
      </c>
      <c r="G14" s="369">
        <f>F14*D14</f>
        <v>343.46932133333331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1724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1</v>
      </c>
      <c r="D26" s="119">
        <f>IF(D5&lt;3,100%,125%)</f>
        <v>1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-0.13799999999999998</v>
      </c>
      <c r="E27" s="124">
        <f>SUMIF(D27,"&gt;=0",D27)+D26</f>
        <v>1</v>
      </c>
      <c r="F27" s="125">
        <f>SUM(F19:F25)*E27</f>
        <v>2717.3910000000001</v>
      </c>
      <c r="G27" s="126">
        <f>SUM(G19:G25)*E27</f>
        <v>4307.7404444444437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0</v>
      </c>
      <c r="D44" s="158">
        <f>D14*0.2%</f>
        <v>0.1724</v>
      </c>
      <c r="E44" s="159" t="s">
        <v>119</v>
      </c>
      <c r="F44" s="160">
        <f>C44+(C44*D44)</f>
        <v>0</v>
      </c>
      <c r="G44" s="161">
        <f>F44/12</f>
        <v>0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86.2</v>
      </c>
      <c r="D49" s="295">
        <v>7</v>
      </c>
      <c r="E49" s="304">
        <v>6.19</v>
      </c>
      <c r="F49" s="172">
        <f>(C49/D49)*E49</f>
        <v>76.22542857142858</v>
      </c>
      <c r="G49" s="173">
        <f>F49*D13</f>
        <v>1524.5085714285715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30.490171428571433</v>
      </c>
      <c r="G51" s="173">
        <f>F51*D13</f>
        <v>609.80342857142864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15245.085714285715</v>
      </c>
      <c r="F63" s="216">
        <f>G49</f>
        <v>1524.5085714285715</v>
      </c>
      <c r="G63" s="217">
        <f>F63/$F$72</f>
        <v>0.17144121310465507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5.9180529268612961E-2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6098.0342857142859</v>
      </c>
      <c r="F65" s="216">
        <f>E65/$D$12</f>
        <v>609.80342857142864</v>
      </c>
      <c r="G65" s="217">
        <f>F65/$F$72</f>
        <v>6.8576485241862037E-2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0</v>
      </c>
      <c r="F66" s="216">
        <f>G44</f>
        <v>0</v>
      </c>
      <c r="G66" s="217">
        <f>F66/$F$72</f>
        <v>0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43077.404444444437</v>
      </c>
      <c r="F67" s="216">
        <f>E67/$D$12</f>
        <v>4307.7404444444437</v>
      </c>
      <c r="G67" s="217">
        <f>F67/$F$72</f>
        <v>0.48443430320860215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70735.544444444444</v>
      </c>
      <c r="F68" s="216">
        <f>SUM(F63:F67)</f>
        <v>6968.3041111111106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14147.10888888889</v>
      </c>
      <c r="F69" s="216">
        <f>E69/$D$12</f>
        <v>1414.710888888889</v>
      </c>
      <c r="G69" s="217">
        <f>F69/$F$72</f>
        <v>0.15909372733549099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5092.9592000000002</v>
      </c>
      <c r="F70" s="216">
        <f>E70/$D$12</f>
        <v>509.29592000000002</v>
      </c>
      <c r="G70" s="217">
        <f>F70/$F$72</f>
        <v>5.7273741840776757E-2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89975.612533333333</v>
      </c>
      <c r="F72" s="220">
        <f>F68+F69+F70</f>
        <v>8892.3109199999999</v>
      </c>
      <c r="G72" s="217">
        <f>SUM(G63:G70)</f>
        <v>0.99999999999999989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5.157952969837587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444.61554599999999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15245.085714285715</v>
      </c>
      <c r="F78" s="240">
        <f>E78/$D$12</f>
        <v>1524.5085714285715</v>
      </c>
      <c r="G78" s="241">
        <f>F78/$F$87</f>
        <v>0.22192790982182833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7.6608249118695682E-2</v>
      </c>
    </row>
    <row r="80" spans="1:8" ht="18" x14ac:dyDescent="0.25">
      <c r="A80" s="331" t="s">
        <v>136</v>
      </c>
      <c r="B80" s="331"/>
      <c r="C80" s="331"/>
      <c r="D80" s="331"/>
      <c r="E80" s="239">
        <f>E78*PARÂMETROS!D15</f>
        <v>6098.0342857142859</v>
      </c>
      <c r="F80" s="240">
        <f>E80/$D$12</f>
        <v>609.80342857142864</v>
      </c>
      <c r="G80" s="241">
        <f>F80/$F$87</f>
        <v>8.8771163928731342E-2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0</v>
      </c>
      <c r="F81" s="240">
        <f>F66</f>
        <v>0</v>
      </c>
      <c r="G81" s="241">
        <f>F81/$F$87</f>
        <v>0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27173.91</v>
      </c>
      <c r="F82" s="240">
        <f>E82/$D$12</f>
        <v>2717.3910000000001</v>
      </c>
      <c r="G82" s="241">
        <f>F82/$F$87</f>
        <v>0.3955798715080584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54832.05</v>
      </c>
      <c r="F83" s="244">
        <f>SUM(F78:F82)</f>
        <v>5377.9546666666665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10966.410000000002</v>
      </c>
      <c r="F84" s="244">
        <f>E84/D12</f>
        <v>1096.6410000000001</v>
      </c>
      <c r="G84" s="241">
        <f>F84/$F$87</f>
        <v>0.15964176884021059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3947.9076000000005</v>
      </c>
      <c r="F85" s="244">
        <f>E85/D12</f>
        <v>394.79076000000003</v>
      </c>
      <c r="G85" s="241">
        <f>F85/$F$87</f>
        <v>5.7471036782475809E-2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69746.367600000012</v>
      </c>
      <c r="F87" s="244">
        <f>F83+F84+F85</f>
        <v>6869.386426666666</v>
      </c>
      <c r="G87" s="241">
        <f>SUM(G78:G85)</f>
        <v>1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3.9845628924980661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343.46932133333331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97"/>
  <sheetViews>
    <sheetView zoomScale="70" zoomScaleNormal="70" workbookViewId="0">
      <selection activeCell="F12" sqref="F12:F15"/>
    </sheetView>
  </sheetViews>
  <sheetFormatPr defaultColWidth="26" defaultRowHeight="15" x14ac:dyDescent="0.25"/>
  <sheetData>
    <row r="1" spans="1:9" ht="18" x14ac:dyDescent="0.25">
      <c r="A1" s="358" t="s">
        <v>0</v>
      </c>
      <c r="B1" s="358"/>
      <c r="C1" s="358"/>
      <c r="D1" s="358"/>
      <c r="E1" s="358"/>
      <c r="F1" s="358"/>
      <c r="G1" s="358"/>
    </row>
    <row r="2" spans="1:9" ht="18" x14ac:dyDescent="0.25">
      <c r="A2" s="359" t="s">
        <v>1</v>
      </c>
      <c r="B2" s="359"/>
      <c r="C2" s="359"/>
      <c r="D2" s="359"/>
      <c r="E2" s="359"/>
      <c r="F2" s="359"/>
      <c r="G2" s="359"/>
    </row>
    <row r="4" spans="1:9" ht="18" customHeight="1" x14ac:dyDescent="0.25">
      <c r="A4" s="360" t="s">
        <v>84</v>
      </c>
      <c r="B4" s="361">
        <v>8</v>
      </c>
      <c r="E4" s="360" t="s">
        <v>85</v>
      </c>
      <c r="F4" s="83" t="s">
        <v>86</v>
      </c>
      <c r="G4" s="84">
        <v>9</v>
      </c>
    </row>
    <row r="5" spans="1:9" ht="18" customHeight="1" x14ac:dyDescent="0.25">
      <c r="A5" s="360"/>
      <c r="B5" s="361"/>
      <c r="C5" s="85" t="s">
        <v>87</v>
      </c>
      <c r="D5" s="86">
        <v>3</v>
      </c>
      <c r="E5" s="360"/>
      <c r="F5" s="87" t="s">
        <v>88</v>
      </c>
      <c r="G5" s="88">
        <v>13</v>
      </c>
    </row>
    <row r="6" spans="1:9" ht="18" customHeight="1" x14ac:dyDescent="0.25">
      <c r="A6" s="360"/>
      <c r="B6" s="361"/>
      <c r="C6" s="89"/>
      <c r="E6" s="360"/>
      <c r="F6" s="90" t="s">
        <v>89</v>
      </c>
      <c r="G6" s="91">
        <v>6</v>
      </c>
    </row>
    <row r="7" spans="1:9" ht="18" x14ac:dyDescent="0.25">
      <c r="A7" s="89"/>
      <c r="B7" s="89"/>
      <c r="C7" s="89"/>
      <c r="D7" s="89"/>
      <c r="E7" s="89"/>
      <c r="F7" s="89"/>
      <c r="G7" s="89"/>
    </row>
    <row r="8" spans="1:9" ht="18.75" thickBot="1" x14ac:dyDescent="0.3">
      <c r="B8" s="362" t="s">
        <v>90</v>
      </c>
      <c r="C8" s="363" t="s">
        <v>173</v>
      </c>
      <c r="D8" s="363"/>
      <c r="E8" s="293" t="s">
        <v>169</v>
      </c>
      <c r="F8" s="306" t="s">
        <v>175</v>
      </c>
      <c r="G8" s="301" t="s">
        <v>174</v>
      </c>
    </row>
    <row r="9" spans="1:9" ht="18.75" thickBot="1" x14ac:dyDescent="0.3">
      <c r="B9" s="362"/>
      <c r="C9" s="363"/>
      <c r="D9" s="363"/>
      <c r="E9" s="294">
        <v>2006</v>
      </c>
      <c r="F9" s="302">
        <v>14</v>
      </c>
      <c r="G9" s="303">
        <v>80000</v>
      </c>
      <c r="H9" s="92"/>
    </row>
    <row r="10" spans="1:9" ht="18" x14ac:dyDescent="0.25">
      <c r="A10" s="93"/>
      <c r="B10" s="94"/>
      <c r="C10" s="94"/>
      <c r="D10" s="93"/>
      <c r="E10" s="356" t="s">
        <v>177</v>
      </c>
      <c r="F10" s="356"/>
      <c r="G10" s="356"/>
      <c r="H10" s="92"/>
    </row>
    <row r="11" spans="1:9" ht="18" x14ac:dyDescent="0.25">
      <c r="A11" s="364" t="s">
        <v>91</v>
      </c>
      <c r="B11" s="364"/>
      <c r="C11" s="364"/>
      <c r="D11" s="95">
        <v>200</v>
      </c>
      <c r="E11" s="307" t="s">
        <v>176</v>
      </c>
      <c r="F11" s="307" t="s">
        <v>157</v>
      </c>
      <c r="G11" s="307" t="s">
        <v>156</v>
      </c>
      <c r="H11" s="96"/>
    </row>
    <row r="12" spans="1:9" ht="18" customHeight="1" x14ac:dyDescent="0.25">
      <c r="A12" s="365" t="s">
        <v>92</v>
      </c>
      <c r="B12" s="365"/>
      <c r="C12" s="365"/>
      <c r="D12" s="97">
        <v>10</v>
      </c>
      <c r="E12" s="371" t="s">
        <v>93</v>
      </c>
      <c r="F12" s="373">
        <f>G74</f>
        <v>7.0613613569482272</v>
      </c>
      <c r="G12" s="369">
        <f>F12*D14</f>
        <v>518.30392359999996</v>
      </c>
      <c r="H12" s="96"/>
      <c r="I12" s="98"/>
    </row>
    <row r="13" spans="1:9" ht="18" customHeight="1" x14ac:dyDescent="0.25">
      <c r="A13" s="365" t="s">
        <v>94</v>
      </c>
      <c r="B13" s="365"/>
      <c r="C13" s="365"/>
      <c r="D13" s="97">
        <v>20</v>
      </c>
      <c r="E13" s="372"/>
      <c r="F13" s="374"/>
      <c r="G13" s="370"/>
      <c r="H13" s="96"/>
      <c r="I13" s="98"/>
    </row>
    <row r="14" spans="1:9" ht="18" customHeight="1" x14ac:dyDescent="0.25">
      <c r="A14" s="365" t="s">
        <v>95</v>
      </c>
      <c r="B14" s="365"/>
      <c r="C14" s="365"/>
      <c r="D14" s="99">
        <v>73.400000000000006</v>
      </c>
      <c r="E14" s="371" t="s">
        <v>96</v>
      </c>
      <c r="F14" s="352">
        <f>G89</f>
        <v>5.3388439069028157</v>
      </c>
      <c r="G14" s="369">
        <f>F14*D14</f>
        <v>391.87114276666671</v>
      </c>
      <c r="H14" s="96"/>
    </row>
    <row r="15" spans="1:9" ht="18" customHeight="1" x14ac:dyDescent="0.25">
      <c r="A15" s="354" t="s">
        <v>97</v>
      </c>
      <c r="B15" s="354"/>
      <c r="C15" s="354"/>
      <c r="D15" s="100">
        <f>D14*D13</f>
        <v>1468</v>
      </c>
      <c r="E15" s="372"/>
      <c r="F15" s="353"/>
      <c r="G15" s="370"/>
      <c r="H15" s="96"/>
    </row>
    <row r="16" spans="1:9" ht="18" x14ac:dyDescent="0.25">
      <c r="A16" s="101"/>
      <c r="D16" s="92"/>
      <c r="E16" s="102"/>
      <c r="F16" s="102"/>
      <c r="G16" s="92"/>
      <c r="H16" s="92"/>
    </row>
    <row r="17" spans="1:9" ht="18" x14ac:dyDescent="0.25">
      <c r="A17" s="103"/>
      <c r="B17" s="104"/>
      <c r="C17" s="104"/>
      <c r="D17" s="105"/>
      <c r="E17" s="106"/>
      <c r="F17" s="355" t="s">
        <v>98</v>
      </c>
      <c r="G17" s="355"/>
      <c r="H17" s="92"/>
    </row>
    <row r="18" spans="1:9" ht="18" x14ac:dyDescent="0.25">
      <c r="A18" s="107" t="s">
        <v>99</v>
      </c>
      <c r="B18" s="108"/>
      <c r="C18" s="108"/>
      <c r="D18" s="49"/>
      <c r="E18" s="49"/>
      <c r="F18" s="109" t="s">
        <v>100</v>
      </c>
      <c r="G18" s="110" t="s">
        <v>101</v>
      </c>
      <c r="H18" s="11"/>
      <c r="I18" s="11"/>
    </row>
    <row r="19" spans="1:9" ht="18" x14ac:dyDescent="0.25">
      <c r="A19" s="348" t="s">
        <v>102</v>
      </c>
      <c r="B19" s="348"/>
      <c r="C19" s="49"/>
      <c r="D19" s="49"/>
      <c r="E19" s="49"/>
      <c r="F19" s="111">
        <f>G19</f>
        <v>2448.1</v>
      </c>
      <c r="G19" s="112">
        <f>PARÂMETROS!C20</f>
        <v>2448.1</v>
      </c>
      <c r="H19" s="11"/>
      <c r="I19" s="11"/>
    </row>
    <row r="20" spans="1:9" ht="18" x14ac:dyDescent="0.25">
      <c r="A20" s="348" t="s">
        <v>103</v>
      </c>
      <c r="B20" s="348"/>
      <c r="C20" s="113">
        <v>0.11</v>
      </c>
      <c r="D20" s="49"/>
      <c r="E20" s="49"/>
      <c r="F20" s="111">
        <f>G20</f>
        <v>269.291</v>
      </c>
      <c r="G20" s="112">
        <f>G19*C20</f>
        <v>269.291</v>
      </c>
      <c r="H20" s="11"/>
      <c r="I20" s="11"/>
    </row>
    <row r="21" spans="1:9" ht="18" x14ac:dyDescent="0.25">
      <c r="A21" s="348" t="s">
        <v>104</v>
      </c>
      <c r="B21" s="348"/>
      <c r="C21" s="113">
        <v>0.08</v>
      </c>
      <c r="D21" s="49"/>
      <c r="E21" s="49"/>
      <c r="F21" s="49"/>
      <c r="G21" s="112">
        <f>G19*C21</f>
        <v>195.84799999999998</v>
      </c>
      <c r="H21" s="11"/>
      <c r="I21" s="67"/>
    </row>
    <row r="22" spans="1:9" ht="18" x14ac:dyDescent="0.25">
      <c r="A22" s="348" t="s">
        <v>105</v>
      </c>
      <c r="B22" s="348"/>
      <c r="C22" s="49"/>
      <c r="D22" s="49"/>
      <c r="E22" s="49"/>
      <c r="F22" s="49"/>
      <c r="G22" s="112">
        <f>G19/12</f>
        <v>204.00833333333333</v>
      </c>
      <c r="H22" s="11"/>
      <c r="I22" s="11"/>
    </row>
    <row r="23" spans="1:9" ht="18" x14ac:dyDescent="0.25">
      <c r="A23" s="348" t="s">
        <v>106</v>
      </c>
      <c r="B23" s="348"/>
      <c r="C23" s="114">
        <v>0.33333333333333298</v>
      </c>
      <c r="D23" s="115"/>
      <c r="E23" s="115"/>
      <c r="F23" s="116"/>
      <c r="G23" s="112">
        <f>G22/3</f>
        <v>68.00277777777778</v>
      </c>
      <c r="H23" s="11"/>
      <c r="I23" s="67"/>
    </row>
    <row r="24" spans="1:9" ht="18" x14ac:dyDescent="0.25">
      <c r="A24" s="348" t="s">
        <v>107</v>
      </c>
      <c r="B24" s="348"/>
      <c r="C24" s="49"/>
      <c r="D24" s="49"/>
      <c r="E24" s="49"/>
      <c r="F24" s="49"/>
      <c r="G24" s="112">
        <f>PARÂMETROS!G31</f>
        <v>918.48199999999997</v>
      </c>
      <c r="H24" s="11"/>
      <c r="I24" s="11"/>
    </row>
    <row r="25" spans="1:9" ht="18" x14ac:dyDescent="0.25">
      <c r="A25" s="348" t="s">
        <v>108</v>
      </c>
      <c r="B25" s="348"/>
      <c r="C25" s="49"/>
      <c r="D25" s="117"/>
      <c r="E25" s="117"/>
      <c r="F25" s="49"/>
      <c r="G25" s="112">
        <f>G19/12</f>
        <v>204.00833333333333</v>
      </c>
      <c r="H25" s="11"/>
      <c r="I25" s="11"/>
    </row>
    <row r="26" spans="1:9" ht="18" x14ac:dyDescent="0.25">
      <c r="A26" s="349" t="s">
        <v>19</v>
      </c>
      <c r="B26" s="349"/>
      <c r="C26" s="118">
        <f>D5</f>
        <v>3</v>
      </c>
      <c r="D26" s="119">
        <f>IF(D5&lt;3,100%,125%)</f>
        <v>1.25</v>
      </c>
      <c r="E26" s="120" t="s">
        <v>109</v>
      </c>
      <c r="F26" s="4"/>
      <c r="G26" s="121"/>
      <c r="H26" s="11"/>
      <c r="I26" s="11"/>
    </row>
    <row r="27" spans="1:9" ht="18" x14ac:dyDescent="0.25">
      <c r="A27" s="122" t="s">
        <v>110</v>
      </c>
      <c r="B27" s="122"/>
      <c r="C27" s="4"/>
      <c r="D27" s="123">
        <f>(D14-100)/100</f>
        <v>-0.26599999999999996</v>
      </c>
      <c r="E27" s="124">
        <f>SUMIF(D27,"&gt;=0",D27)+D26</f>
        <v>1.25</v>
      </c>
      <c r="F27" s="125">
        <f>SUM(F19:F25)*E27</f>
        <v>3396.73875</v>
      </c>
      <c r="G27" s="126">
        <f>SUM(G19:G25)*E27</f>
        <v>5384.6755555555546</v>
      </c>
      <c r="H27" s="11"/>
      <c r="I27" s="93"/>
    </row>
    <row r="28" spans="1:9" ht="18" x14ac:dyDescent="0.25">
      <c r="A28" s="127" t="s">
        <v>111</v>
      </c>
      <c r="B28" s="128"/>
      <c r="C28" s="128"/>
      <c r="D28" s="129"/>
      <c r="E28" s="130"/>
      <c r="F28" s="131" t="s">
        <v>112</v>
      </c>
      <c r="G28" s="132" t="s">
        <v>113</v>
      </c>
      <c r="H28" s="93"/>
      <c r="I28" s="11"/>
    </row>
    <row r="29" spans="1:9" ht="18" x14ac:dyDescent="0.25">
      <c r="A29" s="133" t="s">
        <v>34</v>
      </c>
      <c r="B29" s="134"/>
      <c r="C29" s="134"/>
      <c r="D29" s="130"/>
      <c r="E29" s="130"/>
      <c r="F29" s="134"/>
      <c r="G29" s="135"/>
      <c r="H29" s="93"/>
      <c r="I29" s="11"/>
    </row>
    <row r="30" spans="1:9" ht="18" x14ac:dyDescent="0.25">
      <c r="A30" s="343" t="s">
        <v>36</v>
      </c>
      <c r="B30" s="343"/>
      <c r="C30" s="343"/>
      <c r="D30" s="343"/>
      <c r="E30" s="137"/>
      <c r="F30" s="130">
        <f>PARÂMETROS!F36</f>
        <v>0</v>
      </c>
      <c r="G30" s="138">
        <f>F30/12</f>
        <v>0</v>
      </c>
      <c r="H30" s="93"/>
      <c r="I30" s="11"/>
    </row>
    <row r="31" spans="1:9" ht="18" x14ac:dyDescent="0.25">
      <c r="A31" s="343" t="s">
        <v>37</v>
      </c>
      <c r="B31" s="343"/>
      <c r="C31" s="343"/>
      <c r="D31" s="343"/>
      <c r="E31" s="137"/>
      <c r="F31" s="130">
        <f>PARÂMETROS!F37</f>
        <v>0</v>
      </c>
      <c r="G31" s="138">
        <f>F31/12</f>
        <v>0</v>
      </c>
      <c r="H31" s="93"/>
      <c r="I31" s="11"/>
    </row>
    <row r="32" spans="1:9" ht="18" x14ac:dyDescent="0.25">
      <c r="A32" s="136" t="s">
        <v>114</v>
      </c>
      <c r="B32" s="137"/>
      <c r="C32" s="137"/>
      <c r="D32" s="137"/>
      <c r="E32" s="137"/>
      <c r="F32" s="130">
        <f>PARÂMETROS!F38</f>
        <v>109.27</v>
      </c>
      <c r="G32" s="138">
        <f>F32/12</f>
        <v>9.105833333333333</v>
      </c>
      <c r="H32" s="93"/>
      <c r="I32" s="11"/>
    </row>
    <row r="33" spans="1:9" ht="18" x14ac:dyDescent="0.25">
      <c r="A33" s="139" t="s">
        <v>39</v>
      </c>
      <c r="B33" s="137"/>
      <c r="C33" s="140" t="s">
        <v>40</v>
      </c>
      <c r="D33" s="141" t="s">
        <v>41</v>
      </c>
      <c r="E33" s="142"/>
      <c r="F33" s="130"/>
      <c r="G33" s="138"/>
      <c r="H33" s="93"/>
      <c r="I33" s="11"/>
    </row>
    <row r="34" spans="1:9" ht="18" x14ac:dyDescent="0.25">
      <c r="A34" s="143" t="s">
        <v>42</v>
      </c>
      <c r="B34" s="134"/>
      <c r="C34" s="142">
        <f>PARÂMETROS!C40</f>
        <v>2</v>
      </c>
      <c r="D34" s="144">
        <f>PARÂMETROS!D40</f>
        <v>35</v>
      </c>
      <c r="E34" s="144"/>
      <c r="F34" s="130">
        <f>PARÂMETROS!F40</f>
        <v>70</v>
      </c>
      <c r="G34" s="138">
        <f>F34/12</f>
        <v>5.833333333333333</v>
      </c>
      <c r="H34" s="145"/>
      <c r="I34" s="11"/>
    </row>
    <row r="35" spans="1:9" ht="18" x14ac:dyDescent="0.25">
      <c r="A35" s="143" t="s">
        <v>43</v>
      </c>
      <c r="B35" s="134"/>
      <c r="C35" s="142">
        <f>PARÂMETROS!C41</f>
        <v>0.5</v>
      </c>
      <c r="D35" s="144">
        <f>PARÂMETROS!D41</f>
        <v>442.5</v>
      </c>
      <c r="E35" s="144"/>
      <c r="F35" s="130">
        <f>PARÂMETROS!F41</f>
        <v>221.25</v>
      </c>
      <c r="G35" s="138">
        <f>F35/12</f>
        <v>18.4375</v>
      </c>
      <c r="H35" s="145"/>
      <c r="I35" s="11"/>
    </row>
    <row r="36" spans="1:9" ht="18" x14ac:dyDescent="0.25">
      <c r="A36" s="143" t="s">
        <v>44</v>
      </c>
      <c r="B36" s="134"/>
      <c r="C36" s="142">
        <f>PARÂMETROS!C42</f>
        <v>2</v>
      </c>
      <c r="D36" s="144">
        <f>PARÂMETROS!D42</f>
        <v>325</v>
      </c>
      <c r="E36" s="144"/>
      <c r="F36" s="130">
        <f>PARÂMETROS!F42</f>
        <v>650</v>
      </c>
      <c r="G36" s="138">
        <f>F36/12</f>
        <v>54.166666666666664</v>
      </c>
      <c r="H36" s="145"/>
      <c r="I36" s="11"/>
    </row>
    <row r="37" spans="1:9" ht="18" x14ac:dyDescent="0.25">
      <c r="A37" s="350" t="s">
        <v>45</v>
      </c>
      <c r="B37" s="350"/>
      <c r="C37" s="350"/>
      <c r="D37" s="350"/>
      <c r="E37" s="146"/>
      <c r="F37" s="130"/>
      <c r="G37" s="138"/>
      <c r="H37" s="93"/>
      <c r="I37" s="11"/>
    </row>
    <row r="38" spans="1:9" ht="18" x14ac:dyDescent="0.25">
      <c r="A38" s="343" t="s">
        <v>46</v>
      </c>
      <c r="B38" s="343"/>
      <c r="C38" s="343"/>
      <c r="D38" s="343"/>
      <c r="E38" s="137"/>
      <c r="F38" s="130">
        <f>PARÂMETROS!F44</f>
        <v>650</v>
      </c>
      <c r="G38" s="138">
        <f>F38/12</f>
        <v>54.166666666666664</v>
      </c>
      <c r="H38" s="93"/>
      <c r="I38" s="11"/>
    </row>
    <row r="39" spans="1:9" ht="18" x14ac:dyDescent="0.25">
      <c r="A39" s="343" t="s">
        <v>47</v>
      </c>
      <c r="B39" s="343"/>
      <c r="C39" s="343"/>
      <c r="D39" s="343"/>
      <c r="E39" s="137"/>
      <c r="F39" s="130">
        <f>PARÂMETROS!F45</f>
        <v>3700</v>
      </c>
      <c r="G39" s="138">
        <f>F39/12</f>
        <v>308.33333333333331</v>
      </c>
      <c r="H39" s="93"/>
      <c r="I39" s="11"/>
    </row>
    <row r="40" spans="1:9" ht="18" x14ac:dyDescent="0.25">
      <c r="A40" s="343" t="s">
        <v>48</v>
      </c>
      <c r="B40" s="343"/>
      <c r="C40" s="343"/>
      <c r="D40" s="343"/>
      <c r="E40" s="137"/>
      <c r="F40" s="130">
        <f>PARÂMETROS!F46</f>
        <v>493.5</v>
      </c>
      <c r="G40" s="138">
        <f>F40/12</f>
        <v>41.125</v>
      </c>
      <c r="H40" s="93"/>
      <c r="I40" s="11"/>
    </row>
    <row r="41" spans="1:9" ht="18" x14ac:dyDescent="0.25">
      <c r="A41" s="136" t="s">
        <v>115</v>
      </c>
      <c r="B41" s="137"/>
      <c r="C41" s="137"/>
      <c r="D41" s="137"/>
      <c r="E41" s="137"/>
      <c r="F41" s="130">
        <f>PARÂMETROS!F47</f>
        <v>421</v>
      </c>
      <c r="G41" s="138">
        <f>F41/12</f>
        <v>35.083333333333336</v>
      </c>
      <c r="H41" s="93"/>
      <c r="I41" s="11"/>
    </row>
    <row r="42" spans="1:9" ht="18" x14ac:dyDescent="0.25">
      <c r="A42" s="344" t="s">
        <v>116</v>
      </c>
      <c r="B42" s="344"/>
      <c r="C42" s="147"/>
      <c r="D42" s="147"/>
      <c r="E42" s="137"/>
      <c r="F42" s="148">
        <f>SUM(F30:F41)</f>
        <v>6315.02</v>
      </c>
      <c r="G42" s="149">
        <f>SUM(G30:G41)</f>
        <v>526.25166666666667</v>
      </c>
      <c r="H42" s="93"/>
      <c r="I42" s="11"/>
    </row>
    <row r="43" spans="1:9" ht="18" x14ac:dyDescent="0.25">
      <c r="A43" s="150"/>
      <c r="B43" s="151"/>
      <c r="C43" s="151" t="s">
        <v>145</v>
      </c>
      <c r="D43" s="152" t="s">
        <v>117</v>
      </c>
      <c r="E43" s="152"/>
      <c r="F43" s="153"/>
      <c r="G43" s="154"/>
      <c r="H43" s="93"/>
      <c r="I43" s="11"/>
    </row>
    <row r="44" spans="1:9" ht="18" x14ac:dyDescent="0.25">
      <c r="A44" s="155" t="s">
        <v>118</v>
      </c>
      <c r="B44" s="156"/>
      <c r="C44" s="157">
        <f>G9*5%</f>
        <v>4000</v>
      </c>
      <c r="D44" s="158">
        <f>D14*0.2%</f>
        <v>0.14680000000000001</v>
      </c>
      <c r="E44" s="159" t="s">
        <v>119</v>
      </c>
      <c r="F44" s="160">
        <f>C44+(C44*D44)</f>
        <v>4587.2</v>
      </c>
      <c r="G44" s="161">
        <f>F44/12</f>
        <v>382.26666666666665</v>
      </c>
      <c r="H44" s="93"/>
      <c r="I44" s="11"/>
    </row>
    <row r="45" spans="1:9" ht="18" x14ac:dyDescent="0.25">
      <c r="A45" s="162"/>
      <c r="B45" s="156"/>
      <c r="C45" s="157"/>
      <c r="D45" s="163"/>
      <c r="E45" s="156"/>
      <c r="F45" s="160"/>
      <c r="G45" s="164"/>
      <c r="H45" s="93"/>
      <c r="I45" s="11"/>
    </row>
    <row r="46" spans="1:9" ht="18" x14ac:dyDescent="0.25">
      <c r="A46" s="165" t="s">
        <v>120</v>
      </c>
      <c r="B46" s="166"/>
      <c r="C46" s="305" t="s">
        <v>172</v>
      </c>
      <c r="D46" s="167"/>
      <c r="E46" s="167"/>
      <c r="F46" s="166"/>
      <c r="G46" s="168"/>
      <c r="H46" s="11"/>
      <c r="I46" s="93"/>
    </row>
    <row r="47" spans="1:9" ht="18" customHeight="1" x14ac:dyDescent="0.25">
      <c r="A47" s="345" t="s">
        <v>121</v>
      </c>
      <c r="B47" s="346"/>
      <c r="C47" s="346" t="s">
        <v>122</v>
      </c>
      <c r="D47" s="347" t="s">
        <v>123</v>
      </c>
      <c r="E47" s="335" t="s">
        <v>124</v>
      </c>
      <c r="F47" s="336" t="s">
        <v>125</v>
      </c>
      <c r="G47" s="336"/>
      <c r="H47" s="93"/>
      <c r="I47" s="11"/>
    </row>
    <row r="48" spans="1:9" ht="18" x14ac:dyDescent="0.25">
      <c r="A48" s="345"/>
      <c r="B48" s="346"/>
      <c r="C48" s="346"/>
      <c r="D48" s="347"/>
      <c r="E48" s="335"/>
      <c r="F48" s="169" t="s">
        <v>126</v>
      </c>
      <c r="G48" s="170" t="s">
        <v>127</v>
      </c>
      <c r="H48" s="93"/>
      <c r="I48" s="11"/>
    </row>
    <row r="49" spans="1:9" ht="18" x14ac:dyDescent="0.25">
      <c r="A49" s="337" t="s">
        <v>10</v>
      </c>
      <c r="B49" s="338"/>
      <c r="C49" s="171">
        <f>D14</f>
        <v>73.400000000000006</v>
      </c>
      <c r="D49" s="295">
        <v>7</v>
      </c>
      <c r="E49" s="304">
        <v>6.19</v>
      </c>
      <c r="F49" s="172">
        <f>(C49/D49)*E49</f>
        <v>64.906571428571439</v>
      </c>
      <c r="G49" s="173">
        <f>F49*D13</f>
        <v>1298.1314285714288</v>
      </c>
      <c r="H49" s="93"/>
      <c r="I49" s="11"/>
    </row>
    <row r="50" spans="1:9" ht="18" x14ac:dyDescent="0.25">
      <c r="A50" s="174"/>
      <c r="B50" s="175"/>
      <c r="C50" s="175"/>
      <c r="D50" s="176"/>
      <c r="E50" s="175"/>
      <c r="F50" s="175"/>
      <c r="G50" s="173"/>
      <c r="H50" s="93"/>
      <c r="I50" s="11"/>
    </row>
    <row r="51" spans="1:9" ht="18" x14ac:dyDescent="0.25">
      <c r="A51" s="339" t="s">
        <v>15</v>
      </c>
      <c r="B51" s="340"/>
      <c r="C51" s="340"/>
      <c r="D51" s="296">
        <v>0.4</v>
      </c>
      <c r="E51" s="177"/>
      <c r="F51" s="178">
        <f>F49*D51</f>
        <v>25.962628571428578</v>
      </c>
      <c r="G51" s="173">
        <f>F51*D13</f>
        <v>519.25257142857151</v>
      </c>
      <c r="H51" s="93"/>
      <c r="I51" s="11"/>
    </row>
    <row r="52" spans="1:9" ht="18" x14ac:dyDescent="0.25">
      <c r="A52" s="179"/>
      <c r="B52" s="175"/>
      <c r="C52" s="175"/>
      <c r="D52" s="176"/>
      <c r="E52" s="175"/>
      <c r="F52" s="180"/>
      <c r="G52" s="181"/>
      <c r="H52" s="93"/>
      <c r="I52" s="11"/>
    </row>
    <row r="53" spans="1:9" ht="18.75" x14ac:dyDescent="0.3">
      <c r="A53" s="182" t="s">
        <v>2</v>
      </c>
      <c r="B53" s="183"/>
      <c r="C53" s="183"/>
      <c r="D53" s="184"/>
      <c r="E53" s="183"/>
      <c r="F53" s="185" t="s">
        <v>128</v>
      </c>
      <c r="G53" s="186">
        <f>PARÂMETROS!H8</f>
        <v>45995</v>
      </c>
      <c r="H53" s="93"/>
      <c r="I53" s="11"/>
    </row>
    <row r="54" spans="1:9" ht="18.75" x14ac:dyDescent="0.3">
      <c r="A54" s="187"/>
      <c r="B54" s="188"/>
      <c r="C54" s="189"/>
      <c r="D54" s="189"/>
      <c r="E54" s="189"/>
      <c r="F54" s="341" t="s">
        <v>8</v>
      </c>
      <c r="G54" s="341"/>
      <c r="H54" s="93"/>
    </row>
    <row r="55" spans="1:9" ht="18.75" x14ac:dyDescent="0.3">
      <c r="A55" s="187"/>
      <c r="B55" s="188" t="s">
        <v>10</v>
      </c>
      <c r="C55" s="188"/>
      <c r="D55" s="188"/>
      <c r="E55" s="188"/>
      <c r="F55" s="342">
        <f>PARÂMETROS!G10</f>
        <v>6.1849999999999996</v>
      </c>
      <c r="G55" s="342"/>
      <c r="H55" s="93"/>
    </row>
    <row r="56" spans="1:9" ht="18.75" x14ac:dyDescent="0.3">
      <c r="A56" s="187"/>
      <c r="B56" s="188" t="s">
        <v>129</v>
      </c>
      <c r="C56" s="188"/>
      <c r="D56" s="188"/>
      <c r="E56" s="188"/>
      <c r="F56" s="342">
        <f>PARÂMETROS!G11</f>
        <v>5.9924999999999997</v>
      </c>
      <c r="G56" s="342"/>
      <c r="H56" s="93"/>
    </row>
    <row r="57" spans="1:9" ht="18.75" x14ac:dyDescent="0.3">
      <c r="A57" s="190"/>
      <c r="B57" s="191" t="s">
        <v>14</v>
      </c>
      <c r="C57" s="191"/>
      <c r="D57" s="191"/>
      <c r="E57" s="191"/>
      <c r="F57" s="332">
        <f>PARÂMETROS!G13</f>
        <v>6.1675000000000004</v>
      </c>
      <c r="G57" s="332"/>
      <c r="H57" s="93"/>
    </row>
    <row r="58" spans="1:9" ht="18" x14ac:dyDescent="0.25">
      <c r="A58" s="192"/>
      <c r="B58" s="193"/>
      <c r="C58" s="193"/>
      <c r="D58" s="194"/>
      <c r="E58" s="195"/>
      <c r="F58" s="195"/>
      <c r="G58" s="196"/>
      <c r="H58" s="93"/>
    </row>
    <row r="59" spans="1:9" ht="23.25" x14ac:dyDescent="0.35">
      <c r="A59" s="333" t="s">
        <v>130</v>
      </c>
      <c r="B59" s="333"/>
      <c r="C59" s="333"/>
      <c r="D59" s="197"/>
      <c r="E59" s="197"/>
      <c r="F59" s="197"/>
      <c r="G59" s="198"/>
      <c r="H59" s="11"/>
    </row>
    <row r="60" spans="1:9" x14ac:dyDescent="0.25">
      <c r="A60" s="199"/>
      <c r="B60" s="200"/>
      <c r="C60" s="200"/>
      <c r="D60" s="201"/>
      <c r="E60" s="201"/>
      <c r="F60" s="201"/>
      <c r="G60" s="202"/>
    </row>
    <row r="61" spans="1:9" ht="18" x14ac:dyDescent="0.25">
      <c r="A61" s="203"/>
      <c r="B61" s="204"/>
      <c r="C61" s="204"/>
      <c r="D61" s="205"/>
      <c r="E61" s="206"/>
      <c r="F61" s="207"/>
      <c r="G61" s="208"/>
      <c r="H61" s="11"/>
    </row>
    <row r="62" spans="1:9" ht="23.25" x14ac:dyDescent="0.35">
      <c r="A62" s="334" t="s">
        <v>131</v>
      </c>
      <c r="B62" s="334"/>
      <c r="C62" s="334"/>
      <c r="D62" s="334"/>
      <c r="E62" s="209" t="s">
        <v>132</v>
      </c>
      <c r="F62" s="210" t="s">
        <v>98</v>
      </c>
      <c r="G62" s="211" t="s">
        <v>133</v>
      </c>
      <c r="H62" s="11"/>
    </row>
    <row r="63" spans="1:9" ht="18" x14ac:dyDescent="0.25">
      <c r="A63" s="212" t="s">
        <v>134</v>
      </c>
      <c r="B63" s="213"/>
      <c r="C63" s="214"/>
      <c r="D63" s="213"/>
      <c r="E63" s="215">
        <f>G49*D12</f>
        <v>12981.314285714288</v>
      </c>
      <c r="F63" s="216">
        <f>E63/$D$12</f>
        <v>1298.1314285714288</v>
      </c>
      <c r="G63" s="217">
        <f>F63/$F$72</f>
        <v>0.12522878657322875</v>
      </c>
      <c r="H63" s="11"/>
    </row>
    <row r="64" spans="1:9" ht="18" x14ac:dyDescent="0.25">
      <c r="A64" s="327" t="s">
        <v>135</v>
      </c>
      <c r="B64" s="327"/>
      <c r="C64" s="327"/>
      <c r="D64" s="213"/>
      <c r="E64" s="215">
        <f>F42</f>
        <v>6315.02</v>
      </c>
      <c r="F64" s="216">
        <f>G42</f>
        <v>526.25166666666667</v>
      </c>
      <c r="G64" s="217">
        <f>F64/$F$72</f>
        <v>5.0766706820533393E-2</v>
      </c>
      <c r="H64" s="11"/>
    </row>
    <row r="65" spans="1:8" ht="18" x14ac:dyDescent="0.25">
      <c r="A65" s="327" t="s">
        <v>136</v>
      </c>
      <c r="B65" s="327"/>
      <c r="C65" s="327"/>
      <c r="D65" s="327"/>
      <c r="E65" s="215">
        <f>E63*D51</f>
        <v>5192.5257142857154</v>
      </c>
      <c r="F65" s="216">
        <f>E65/$D$12</f>
        <v>519.25257142857151</v>
      </c>
      <c r="G65" s="217">
        <f>F65/$F$72</f>
        <v>5.0091514629291498E-2</v>
      </c>
      <c r="H65" s="11"/>
    </row>
    <row r="66" spans="1:8" ht="18" x14ac:dyDescent="0.25">
      <c r="A66" s="218" t="s">
        <v>49</v>
      </c>
      <c r="B66" s="219"/>
      <c r="C66" s="219"/>
      <c r="D66" s="219"/>
      <c r="E66" s="215">
        <f>F44</f>
        <v>4587.2</v>
      </c>
      <c r="F66" s="216">
        <f>G44</f>
        <v>382.26666666666665</v>
      </c>
      <c r="G66" s="217">
        <f>F66/$F$72</f>
        <v>3.6876690418581541E-2</v>
      </c>
      <c r="H66" s="11"/>
    </row>
    <row r="67" spans="1:8" ht="18" x14ac:dyDescent="0.25">
      <c r="A67" s="327" t="s">
        <v>137</v>
      </c>
      <c r="B67" s="327"/>
      <c r="C67" s="327"/>
      <c r="D67" s="213"/>
      <c r="E67" s="215">
        <f>G27*D12</f>
        <v>53846.755555555545</v>
      </c>
      <c r="F67" s="216">
        <f>E67/$D$12</f>
        <v>5384.6755555555546</v>
      </c>
      <c r="G67" s="217">
        <f>F67/$F$72</f>
        <v>0.51945155249405062</v>
      </c>
      <c r="H67" s="11"/>
    </row>
    <row r="68" spans="1:8" ht="18" x14ac:dyDescent="0.25">
      <c r="A68" s="327" t="s">
        <v>138</v>
      </c>
      <c r="B68" s="327"/>
      <c r="C68" s="327"/>
      <c r="D68" s="213"/>
      <c r="E68" s="220">
        <f>SUM(E63:E67)</f>
        <v>82922.815555555542</v>
      </c>
      <c r="F68" s="216">
        <f>SUM(F63:F67)</f>
        <v>8110.5778888888881</v>
      </c>
      <c r="G68" s="217"/>
      <c r="H68" s="11"/>
    </row>
    <row r="69" spans="1:8" ht="18" x14ac:dyDescent="0.25">
      <c r="A69" s="218"/>
      <c r="B69" s="221" t="s">
        <v>139</v>
      </c>
      <c r="C69" s="222">
        <f>PARÂMETROS!C18</f>
        <v>0.2</v>
      </c>
      <c r="D69" s="213"/>
      <c r="E69" s="220">
        <f>E68*C69</f>
        <v>16584.563111111111</v>
      </c>
      <c r="F69" s="216">
        <f>E69/$D$12</f>
        <v>1658.4563111111111</v>
      </c>
      <c r="G69" s="217">
        <f>F69/$F$72</f>
        <v>0.15998878607670175</v>
      </c>
      <c r="H69" s="11"/>
    </row>
    <row r="70" spans="1:8" ht="18" x14ac:dyDescent="0.25">
      <c r="A70" s="212"/>
      <c r="B70" s="221" t="s">
        <v>140</v>
      </c>
      <c r="C70" s="222">
        <v>0.06</v>
      </c>
      <c r="D70" s="213"/>
      <c r="E70" s="223">
        <f>(E68+E69)*C70</f>
        <v>5970.4427199999991</v>
      </c>
      <c r="F70" s="216">
        <f>E70/$D$12</f>
        <v>597.04427199999986</v>
      </c>
      <c r="G70" s="217">
        <f>F70/$F$72</f>
        <v>5.7595962987612624E-2</v>
      </c>
      <c r="H70" s="11"/>
    </row>
    <row r="71" spans="1:8" ht="18" x14ac:dyDescent="0.25">
      <c r="A71" s="327"/>
      <c r="B71" s="327"/>
      <c r="C71" s="327"/>
      <c r="D71" s="213"/>
      <c r="E71" s="223"/>
      <c r="F71" s="223"/>
      <c r="G71" s="217"/>
    </row>
    <row r="72" spans="1:8" ht="18" x14ac:dyDescent="0.25">
      <c r="A72" s="328" t="s">
        <v>141</v>
      </c>
      <c r="B72" s="328"/>
      <c r="C72" s="328"/>
      <c r="D72" s="213"/>
      <c r="E72" s="220">
        <f>E68+E69+E70</f>
        <v>105477.82138666665</v>
      </c>
      <c r="F72" s="220">
        <f>F68+F69+F70</f>
        <v>10366.078471999997</v>
      </c>
      <c r="G72" s="217">
        <f>SUM(G63:G70)</f>
        <v>1.0000000000000002</v>
      </c>
    </row>
    <row r="73" spans="1:8" ht="18" x14ac:dyDescent="0.25">
      <c r="A73" s="224"/>
      <c r="B73" s="225"/>
      <c r="C73" s="225"/>
      <c r="D73" s="220"/>
      <c r="E73" s="213"/>
      <c r="F73" s="226"/>
      <c r="G73" s="217"/>
    </row>
    <row r="74" spans="1:8" ht="18" x14ac:dyDescent="0.25">
      <c r="A74" s="224" t="s">
        <v>142</v>
      </c>
      <c r="B74" s="225"/>
      <c r="C74" s="227"/>
      <c r="D74" s="220"/>
      <c r="E74" s="228"/>
      <c r="F74" s="213"/>
      <c r="G74" s="229">
        <f>F72/D15</f>
        <v>7.0613613569482272</v>
      </c>
    </row>
    <row r="75" spans="1:8" ht="18" x14ac:dyDescent="0.25">
      <c r="A75" s="273" t="s">
        <v>155</v>
      </c>
      <c r="B75" s="274"/>
      <c r="C75" s="274"/>
      <c r="D75" s="275"/>
      <c r="E75" s="276"/>
      <c r="F75" s="277"/>
      <c r="G75" s="278">
        <f>G74*D14</f>
        <v>518.30392359999996</v>
      </c>
    </row>
    <row r="76" spans="1:8" ht="18" x14ac:dyDescent="0.25">
      <c r="A76" s="230"/>
      <c r="B76" s="231"/>
      <c r="C76" s="231"/>
      <c r="D76" s="231"/>
      <c r="E76" s="231"/>
      <c r="F76" s="231"/>
      <c r="G76" s="232"/>
    </row>
    <row r="77" spans="1:8" ht="23.25" x14ac:dyDescent="0.35">
      <c r="A77" s="329" t="s">
        <v>143</v>
      </c>
      <c r="B77" s="329"/>
      <c r="C77" s="329"/>
      <c r="D77" s="329"/>
      <c r="E77" s="233" t="s">
        <v>132</v>
      </c>
      <c r="F77" s="234" t="s">
        <v>98</v>
      </c>
      <c r="G77" s="235" t="s">
        <v>133</v>
      </c>
    </row>
    <row r="78" spans="1:8" ht="18" x14ac:dyDescent="0.25">
      <c r="A78" s="236" t="s">
        <v>134</v>
      </c>
      <c r="B78" s="237"/>
      <c r="C78" s="238"/>
      <c r="D78" s="237"/>
      <c r="E78" s="239">
        <f>G49*D12</f>
        <v>12981.314285714288</v>
      </c>
      <c r="F78" s="240">
        <f>E78/$D$12</f>
        <v>1298.1314285714288</v>
      </c>
      <c r="G78" s="241">
        <f>F78/$F$87</f>
        <v>0.16563243460674779</v>
      </c>
    </row>
    <row r="79" spans="1:8" ht="18" x14ac:dyDescent="0.25">
      <c r="A79" s="331" t="s">
        <v>135</v>
      </c>
      <c r="B79" s="331"/>
      <c r="C79" s="331"/>
      <c r="D79" s="237"/>
      <c r="E79" s="239">
        <f>F42</f>
        <v>6315.02</v>
      </c>
      <c r="F79" s="240">
        <f>G42</f>
        <v>526.25166666666667</v>
      </c>
      <c r="G79" s="241">
        <f>F79/$F$87</f>
        <v>6.7146009138521173E-2</v>
      </c>
    </row>
    <row r="80" spans="1:8" ht="18" x14ac:dyDescent="0.25">
      <c r="A80" s="331" t="s">
        <v>136</v>
      </c>
      <c r="B80" s="331"/>
      <c r="C80" s="331"/>
      <c r="D80" s="331"/>
      <c r="E80" s="239">
        <f>E78*PARÂMETROS!D15</f>
        <v>5192.5257142857154</v>
      </c>
      <c r="F80" s="240">
        <f>E80/$D$12</f>
        <v>519.25257142857151</v>
      </c>
      <c r="G80" s="241">
        <f>F80/$F$87</f>
        <v>6.6252973842699112E-2</v>
      </c>
    </row>
    <row r="81" spans="1:7" ht="18" x14ac:dyDescent="0.25">
      <c r="A81" s="242" t="s">
        <v>49</v>
      </c>
      <c r="B81" s="243"/>
      <c r="C81" s="243"/>
      <c r="D81" s="243"/>
      <c r="E81" s="239">
        <f>E66</f>
        <v>4587.2</v>
      </c>
      <c r="F81" s="240">
        <f>F66</f>
        <v>382.26666666666665</v>
      </c>
      <c r="G81" s="241">
        <f>F81/$F$87</f>
        <v>4.877453644172533E-2</v>
      </c>
    </row>
    <row r="82" spans="1:7" ht="18" x14ac:dyDescent="0.25">
      <c r="A82" s="331" t="s">
        <v>144</v>
      </c>
      <c r="B82" s="331"/>
      <c r="C82" s="331"/>
      <c r="D82" s="237"/>
      <c r="E82" s="239">
        <f>F27*D12</f>
        <v>33967.387499999997</v>
      </c>
      <c r="F82" s="240">
        <f>E82/$D$12</f>
        <v>3396.7387499999995</v>
      </c>
      <c r="G82" s="241">
        <f>F82/$F$87</f>
        <v>0.43339995974423318</v>
      </c>
    </row>
    <row r="83" spans="1:7" ht="18" x14ac:dyDescent="0.25">
      <c r="A83" s="331" t="s">
        <v>138</v>
      </c>
      <c r="B83" s="331"/>
      <c r="C83" s="331"/>
      <c r="D83" s="237"/>
      <c r="E83" s="244">
        <f>SUM(E78:E82)</f>
        <v>63043.447500000002</v>
      </c>
      <c r="F83" s="244">
        <f>SUM(F78:F82)</f>
        <v>6122.641083333333</v>
      </c>
      <c r="G83" s="241"/>
    </row>
    <row r="84" spans="1:7" ht="18" x14ac:dyDescent="0.25">
      <c r="A84" s="242"/>
      <c r="B84" s="245" t="s">
        <v>139</v>
      </c>
      <c r="C84" s="246">
        <f>PARÂMETROS!C18</f>
        <v>0.2</v>
      </c>
      <c r="D84" s="237"/>
      <c r="E84" s="244">
        <f>E83*C84</f>
        <v>12608.6895</v>
      </c>
      <c r="F84" s="244">
        <f>E84/D12</f>
        <v>1260.86895</v>
      </c>
      <c r="G84" s="241">
        <f>F84/$F$87</f>
        <v>0.16087800457799517</v>
      </c>
    </row>
    <row r="85" spans="1:7" ht="18" x14ac:dyDescent="0.25">
      <c r="A85" s="236"/>
      <c r="B85" s="245" t="s">
        <v>140</v>
      </c>
      <c r="C85" s="246">
        <v>0.06</v>
      </c>
      <c r="D85" s="237"/>
      <c r="E85" s="247">
        <f>(E83+E84)*C85</f>
        <v>4539.1282199999996</v>
      </c>
      <c r="F85" s="244">
        <f>E85/D12</f>
        <v>453.91282199999995</v>
      </c>
      <c r="G85" s="241">
        <f>F85/$F$87</f>
        <v>5.7916081648078259E-2</v>
      </c>
    </row>
    <row r="86" spans="1:7" ht="18" x14ac:dyDescent="0.25">
      <c r="A86" s="331"/>
      <c r="B86" s="331"/>
      <c r="C86" s="331"/>
      <c r="D86" s="237"/>
      <c r="E86" s="247"/>
      <c r="F86" s="247"/>
      <c r="G86" s="241"/>
    </row>
    <row r="87" spans="1:7" ht="18" x14ac:dyDescent="0.25">
      <c r="A87" s="330" t="s">
        <v>141</v>
      </c>
      <c r="B87" s="330"/>
      <c r="C87" s="330"/>
      <c r="D87" s="237"/>
      <c r="E87" s="244">
        <f>E83+E84+E85</f>
        <v>80191.265220000001</v>
      </c>
      <c r="F87" s="244">
        <f>F83+F84+F85</f>
        <v>7837.4228553333332</v>
      </c>
      <c r="G87" s="241">
        <f>SUM(G78:G85)</f>
        <v>1</v>
      </c>
    </row>
    <row r="88" spans="1:7" ht="18" x14ac:dyDescent="0.25">
      <c r="A88" s="248"/>
      <c r="B88" s="249"/>
      <c r="C88" s="249"/>
      <c r="D88" s="244"/>
      <c r="E88" s="237"/>
      <c r="F88" s="250"/>
      <c r="G88" s="241"/>
    </row>
    <row r="89" spans="1:7" ht="18" x14ac:dyDescent="0.25">
      <c r="A89" s="248" t="s">
        <v>142</v>
      </c>
      <c r="B89" s="249"/>
      <c r="C89" s="251"/>
      <c r="D89" s="244"/>
      <c r="E89" s="252"/>
      <c r="F89" s="237"/>
      <c r="G89" s="253">
        <f>F87/D15</f>
        <v>5.3388439069028157</v>
      </c>
    </row>
    <row r="90" spans="1:7" ht="18" x14ac:dyDescent="0.25">
      <c r="A90" s="286" t="s">
        <v>155</v>
      </c>
      <c r="B90" s="287"/>
      <c r="C90" s="287"/>
      <c r="D90" s="287"/>
      <c r="E90" s="287"/>
      <c r="F90" s="287"/>
      <c r="G90" s="288">
        <f>G89*D14</f>
        <v>391.87114276666671</v>
      </c>
    </row>
    <row r="91" spans="1:7" ht="18" x14ac:dyDescent="0.25">
      <c r="A91" s="11"/>
      <c r="B91" s="11"/>
      <c r="C91" s="11"/>
      <c r="D91" s="11"/>
      <c r="E91" s="11"/>
      <c r="F91" s="11"/>
      <c r="G91" s="11"/>
    </row>
    <row r="92" spans="1:7" ht="18" x14ac:dyDescent="0.25">
      <c r="A92" s="11"/>
      <c r="B92" s="11"/>
      <c r="C92" s="11"/>
      <c r="D92" s="11"/>
      <c r="E92" s="11"/>
      <c r="F92" s="11"/>
      <c r="G92" s="11"/>
    </row>
    <row r="94" spans="1:7" x14ac:dyDescent="0.25">
      <c r="F94" s="254"/>
    </row>
    <row r="95" spans="1:7" s="255" customFormat="1" x14ac:dyDescent="0.25"/>
    <row r="96" spans="1:7" s="255" customFormat="1" x14ac:dyDescent="0.25"/>
    <row r="97" spans="6:6" s="255" customFormat="1" x14ac:dyDescent="0.25">
      <c r="F97" s="256"/>
    </row>
  </sheetData>
  <mergeCells count="61">
    <mergeCell ref="A1:G1"/>
    <mergeCell ref="A2:G2"/>
    <mergeCell ref="A4:A6"/>
    <mergeCell ref="B4:B6"/>
    <mergeCell ref="E4:E6"/>
    <mergeCell ref="B8:B9"/>
    <mergeCell ref="C8:D9"/>
    <mergeCell ref="A11:C11"/>
    <mergeCell ref="A12:C12"/>
    <mergeCell ref="F12:F13"/>
    <mergeCell ref="E10:G10"/>
    <mergeCell ref="G12:G13"/>
    <mergeCell ref="A13:C13"/>
    <mergeCell ref="E12:E13"/>
    <mergeCell ref="A14:C14"/>
    <mergeCell ref="F14:F15"/>
    <mergeCell ref="G14:G15"/>
    <mergeCell ref="A15:C15"/>
    <mergeCell ref="F17:G17"/>
    <mergeCell ref="E14:E15"/>
    <mergeCell ref="A19:B19"/>
    <mergeCell ref="A20:B20"/>
    <mergeCell ref="A21:B21"/>
    <mergeCell ref="A22:B22"/>
    <mergeCell ref="A23:B23"/>
    <mergeCell ref="A24:B24"/>
    <mergeCell ref="A25:B25"/>
    <mergeCell ref="A26:B26"/>
    <mergeCell ref="A30:D30"/>
    <mergeCell ref="A31:D31"/>
    <mergeCell ref="A37:D37"/>
    <mergeCell ref="A38:D38"/>
    <mergeCell ref="A39:D39"/>
    <mergeCell ref="A40:D40"/>
    <mergeCell ref="A42:B42"/>
    <mergeCell ref="A47:B48"/>
    <mergeCell ref="C47:C48"/>
    <mergeCell ref="D47:D48"/>
    <mergeCell ref="E47:E48"/>
    <mergeCell ref="F47:G47"/>
    <mergeCell ref="A49:B49"/>
    <mergeCell ref="A51:C51"/>
    <mergeCell ref="F54:G54"/>
    <mergeCell ref="F55:G55"/>
    <mergeCell ref="F56:G56"/>
    <mergeCell ref="F57:G57"/>
    <mergeCell ref="A59:C59"/>
    <mergeCell ref="A62:D62"/>
    <mergeCell ref="A64:C64"/>
    <mergeCell ref="A65:D65"/>
    <mergeCell ref="A67:C67"/>
    <mergeCell ref="A68:C68"/>
    <mergeCell ref="A71:C71"/>
    <mergeCell ref="A72:C72"/>
    <mergeCell ref="A77:D77"/>
    <mergeCell ref="A87:C87"/>
    <mergeCell ref="A79:C79"/>
    <mergeCell ref="A80:D80"/>
    <mergeCell ref="A82:C82"/>
    <mergeCell ref="A83:C83"/>
    <mergeCell ref="A86:C86"/>
  </mergeCells>
  <pageMargins left="0.70833333333333304" right="0.70833333333333304" top="0.55138888888888904" bottom="0.55138888888888904" header="0.51180555555555496" footer="0.51180555555555496"/>
  <pageSetup paperSize="9" scale="4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</vt:i4>
      </vt:variant>
    </vt:vector>
  </HeadingPairs>
  <TitlesOfParts>
    <vt:vector size="21" baseType="lpstr">
      <vt:lpstr>PARÂMETROS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Resumo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Setor de Empenhos</cp:lastModifiedBy>
  <cp:revision>5</cp:revision>
  <cp:lastPrinted>2026-01-09T20:56:14Z</cp:lastPrinted>
  <dcterms:created xsi:type="dcterms:W3CDTF">2018-06-11T22:45:35Z</dcterms:created>
  <dcterms:modified xsi:type="dcterms:W3CDTF">2026-01-09T20:57:32Z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